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'укр'!$A$5:$M$93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<sst xmlns="http://schemas.openxmlformats.org/spreadsheetml/2006/main" count="190" uniqueCount="77">
  <si>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</si>
  <si>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</si>
  <si>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</si>
  <si>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</si>
  <si>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</si>
  <si>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</si>
  <si>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</si>
  <si>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</si>
  <si>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</si>
  <si>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</si>
  <si>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</si>
  <si>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</si>
  <si>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</si>
  <si>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</si>
  <si>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</si>
  <si>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</si>
  <si>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</si>
  <si>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</si>
  <si>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</si>
  <si>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</si>
  <si>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</si>
  <si>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</si>
  <si>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</si>
  <si>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</si>
  <si>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</si>
  <si>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</si>
  <si>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</si>
  <si>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</si>
  <si>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</si>
  <si>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</si>
  <si>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</si>
  <si>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</si>
  <si>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</si>
  <si>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</si>
  <si>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</si>
  <si>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</si>
  <si>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</si>
  <si>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</si>
  <si>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</si>
  <si>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</si>
  <si>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</si>
  <si>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</si>
  <si>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</si>
  <si>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</si>
  <si>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</si>
  <si>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</si>
  <si>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</si>
  <si>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</si>
  <si>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</si>
  <si>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</si>
  <si>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</si>
  <si>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</si>
  <si>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</si>
  <si>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</si>
  <si>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</si>
  <si>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</si>
  <si>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</si>
  <si>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</si>
  <si>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</si>
  <si>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</si>
  <si>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</si>
  <si>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</si>
  <si>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</si>
  <si>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</si>
  <si>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</si>
  <si>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</si>
  <si>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</si>
  <si>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</si>
  <si>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</si>
  <si>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</si>
  <si>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</si>
  <si>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План на січень-серпень з урахуванням змін, тис. грн.</t>
  </si>
  <si>
    <t xml:space="preserve">План на январь-август с учетом изменений, тыс. грн. </t>
  </si>
  <si>
    <t>Щомісячна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</si>
  <si>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серпня </t>
    </r>
    <r>
      <rPr>
        <sz val="11"/>
        <rFont val="Times New Roman"/>
        <family val="1"/>
      </rPr>
      <t xml:space="preserve">тис. грн.  </t>
    </r>
  </si>
  <si>
    <t>Ежемесячная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</si>
  <si>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серпня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</si>
</sst>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73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71</v>
      </c>
      <c r="D3" s="77" t="s">
        <v>74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560974.284</v>
      </c>
      <c r="C5" s="18">
        <f>C6+C13</f>
        <v>374297.385</v>
      </c>
      <c r="D5" s="18">
        <f>D6+D13</f>
        <v>348590.36</v>
      </c>
      <c r="E5" s="19">
        <f>SUM(D5)/B5*100</f>
        <v>62.14016755178032</v>
      </c>
      <c r="F5" s="19">
        <f>SUM(D5)/C5*100</f>
        <v>93.13192503335281</v>
      </c>
      <c r="G5" s="65"/>
    </row>
    <row r="6" spans="1:7" s="14" customFormat="1" ht="16.5" customHeight="1">
      <c r="A6" s="30" t="s">
        <v>34</v>
      </c>
      <c r="B6" s="55">
        <v>528284.723</v>
      </c>
      <c r="C6" s="25">
        <v>354161.677</v>
      </c>
      <c r="D6" s="25">
        <v>334409.209</v>
      </c>
      <c r="E6" s="20">
        <f>SUM(D6)/B6*100</f>
        <v>63.30094254873995</v>
      </c>
      <c r="F6" s="20">
        <f>SUM(D6)/C6*100</f>
        <v>94.42275398983949</v>
      </c>
      <c r="G6" s="66"/>
    </row>
    <row r="7" spans="1:7" s="3" customFormat="1" ht="14.25" customHeight="1">
      <c r="A7" s="12" t="s">
        <v>1</v>
      </c>
      <c r="B7" s="11">
        <v>287934.461</v>
      </c>
      <c r="C7" s="11">
        <v>201811.135</v>
      </c>
      <c r="D7" s="11">
        <v>195756.07</v>
      </c>
      <c r="E7" s="20">
        <f aca="true" t="shared" si="0" ref="E7:E73">SUM(D7)/B7*100</f>
        <v>67.98632901394876</v>
      </c>
      <c r="F7" s="20">
        <f aca="true" t="shared" si="1" ref="F7:F73">SUM(D7)/C7*100</f>
        <v>96.99963780492092</v>
      </c>
      <c r="G7" s="66"/>
    </row>
    <row r="8" spans="1:7" s="3" customFormat="1" ht="15">
      <c r="A8" s="12" t="s">
        <v>29</v>
      </c>
      <c r="B8" s="11">
        <v>104517.487</v>
      </c>
      <c r="C8" s="11">
        <v>72705.803</v>
      </c>
      <c r="D8" s="11">
        <v>71599.354</v>
      </c>
      <c r="E8" s="20">
        <f t="shared" si="0"/>
        <v>68.50466467874415</v>
      </c>
      <c r="F8" s="20">
        <f t="shared" si="1"/>
        <v>98.47818337141535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f>40.161+1.572</f>
        <v>41.733000000000004</v>
      </c>
      <c r="E9" s="20">
        <f t="shared" si="0"/>
        <v>57.10044193905893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17365.895</v>
      </c>
      <c r="D10" s="11">
        <v>16437.992</v>
      </c>
      <c r="E10" s="20">
        <f t="shared" si="0"/>
        <v>49.290497457346135</v>
      </c>
      <c r="F10" s="20">
        <f t="shared" si="1"/>
        <v>94.6567510629311</v>
      </c>
      <c r="G10" s="66"/>
    </row>
    <row r="11" spans="1:7" s="3" customFormat="1" ht="15">
      <c r="A11" s="12" t="s">
        <v>31</v>
      </c>
      <c r="B11" s="11">
        <v>77973.395</v>
      </c>
      <c r="C11" s="11">
        <v>45343.062</v>
      </c>
      <c r="D11" s="11">
        <f>37862.996+4.514</f>
        <v>37867.51</v>
      </c>
      <c r="E11" s="20">
        <f t="shared" si="0"/>
        <v>48.56465464919156</v>
      </c>
      <c r="F11" s="20">
        <f t="shared" si="1"/>
        <v>83.51334984831858</v>
      </c>
      <c r="G11" s="66"/>
    </row>
    <row r="12" spans="1:7" s="3" customFormat="1" ht="15">
      <c r="A12" s="12" t="s">
        <v>13</v>
      </c>
      <c r="B12" s="11">
        <f>SUM(B6)-B7-B8-B9-B10-B11</f>
        <v>24437.08199999998</v>
      </c>
      <c r="C12" s="11">
        <f>SUM(C6)-C7-C8-C9-C10-C11</f>
        <v>16862.695000000014</v>
      </c>
      <c r="D12" s="11">
        <f>SUM(D6)-D7-D8-D9-D10-D11</f>
        <v>12706.549999999967</v>
      </c>
      <c r="E12" s="20">
        <f t="shared" si="0"/>
        <v>51.997001933373134</v>
      </c>
      <c r="F12" s="20">
        <f t="shared" si="1"/>
        <v>75.353020380194</v>
      </c>
      <c r="G12" s="66"/>
    </row>
    <row r="13" spans="1:7" s="3" customFormat="1" ht="15">
      <c r="A13" s="30" t="s">
        <v>14</v>
      </c>
      <c r="B13" s="58">
        <f>15516.755+17172.806</f>
        <v>32689.561</v>
      </c>
      <c r="C13" s="25">
        <f>8911.26+11224.448</f>
        <v>20135.708</v>
      </c>
      <c r="D13" s="25">
        <f>14073.765+107.386</f>
        <v>14181.151</v>
      </c>
      <c r="E13" s="20">
        <f t="shared" si="0"/>
        <v>43.38128309523642</v>
      </c>
      <c r="F13" s="20">
        <f t="shared" si="1"/>
        <v>70.42787370575697</v>
      </c>
      <c r="G13" s="66"/>
    </row>
    <row r="14" spans="1:7" s="2" customFormat="1" ht="14.25">
      <c r="A14" s="17" t="s">
        <v>6</v>
      </c>
      <c r="B14" s="18">
        <f>B15+B22</f>
        <v>357938.35</v>
      </c>
      <c r="C14" s="18">
        <f>C15+C22</f>
        <v>248439.33899999998</v>
      </c>
      <c r="D14" s="18">
        <f>D15+D22</f>
        <v>223541.478</v>
      </c>
      <c r="E14" s="19">
        <f t="shared" si="0"/>
        <v>62.452508371902596</v>
      </c>
      <c r="F14" s="19">
        <f t="shared" si="1"/>
        <v>89.97829365501573</v>
      </c>
      <c r="G14" s="67"/>
    </row>
    <row r="15" spans="1:7" s="14" customFormat="1" ht="15">
      <c r="A15" s="30" t="s">
        <v>33</v>
      </c>
      <c r="B15" s="25">
        <f>312594.577+25068</f>
        <v>337662.577</v>
      </c>
      <c r="C15" s="25">
        <f>211410.274+16753.292</f>
        <v>228163.566</v>
      </c>
      <c r="D15" s="25">
        <f>199952.39+163.731+16753.292</f>
        <v>216869.413</v>
      </c>
      <c r="E15" s="20">
        <f>SUM(D15)/B15*100</f>
        <v>64.22666524872255</v>
      </c>
      <c r="F15" s="20">
        <f>SUM(D15)/C15*100</f>
        <v>95.04997524451385</v>
      </c>
      <c r="G15" s="68"/>
    </row>
    <row r="16" spans="1:7" s="3" customFormat="1" ht="15">
      <c r="A16" s="12" t="s">
        <v>1</v>
      </c>
      <c r="B16" s="11">
        <v>129503.175</v>
      </c>
      <c r="C16" s="11">
        <v>87635.513</v>
      </c>
      <c r="D16" s="11">
        <v>87059.467</v>
      </c>
      <c r="E16" s="20">
        <f t="shared" si="0"/>
        <v>67.22573944615644</v>
      </c>
      <c r="F16" s="20">
        <f t="shared" si="1"/>
        <v>99.34267971935076</v>
      </c>
      <c r="G16" s="66"/>
    </row>
    <row r="17" spans="1:7" s="3" customFormat="1" ht="15">
      <c r="A17" s="12" t="s">
        <v>29</v>
      </c>
      <c r="B17" s="11">
        <v>46967.328</v>
      </c>
      <c r="C17" s="11">
        <v>31647.94</v>
      </c>
      <c r="D17" s="11">
        <v>30900.468</v>
      </c>
      <c r="E17" s="20">
        <f t="shared" si="0"/>
        <v>65.79141142540618</v>
      </c>
      <c r="F17" s="20">
        <f t="shared" si="1"/>
        <v>97.63816539085957</v>
      </c>
      <c r="G17" s="66"/>
    </row>
    <row r="18" spans="1:7" s="3" customFormat="1" ht="15">
      <c r="A18" s="12" t="s">
        <v>4</v>
      </c>
      <c r="B18" s="58">
        <v>11580.2697</v>
      </c>
      <c r="C18" s="11">
        <v>8579.259</v>
      </c>
      <c r="D18" s="11">
        <f>7644.909+3.424</f>
        <v>7648.333</v>
      </c>
      <c r="E18" s="20">
        <f t="shared" si="0"/>
        <v>66.04624242905153</v>
      </c>
      <c r="F18" s="20">
        <f t="shared" si="1"/>
        <v>89.14910949768505</v>
      </c>
      <c r="G18" s="66"/>
    </row>
    <row r="19" spans="1:7" s="3" customFormat="1" ht="15">
      <c r="A19" s="12" t="s">
        <v>5</v>
      </c>
      <c r="B19" s="11">
        <v>4056.884</v>
      </c>
      <c r="C19" s="11">
        <v>2783.367</v>
      </c>
      <c r="D19" s="11">
        <v>2681.739</v>
      </c>
      <c r="E19" s="20">
        <f t="shared" si="0"/>
        <v>66.10341828851897</v>
      </c>
      <c r="F19" s="20">
        <f t="shared" si="1"/>
        <v>96.34873877573456</v>
      </c>
      <c r="G19" s="66"/>
    </row>
    <row r="20" spans="1:7" s="3" customFormat="1" ht="15">
      <c r="A20" s="12" t="s">
        <v>31</v>
      </c>
      <c r="B20" s="11">
        <v>30224.41</v>
      </c>
      <c r="C20" s="11">
        <v>17526.996</v>
      </c>
      <c r="D20" s="11">
        <v>15999.58</v>
      </c>
      <c r="E20" s="20">
        <f t="shared" si="0"/>
        <v>52.935954746511186</v>
      </c>
      <c r="F20" s="20">
        <f t="shared" si="1"/>
        <v>91.28535203636721</v>
      </c>
      <c r="G20" s="66"/>
    </row>
    <row r="21" spans="1:7" s="3" customFormat="1" ht="15">
      <c r="A21" s="56" t="s">
        <v>13</v>
      </c>
      <c r="B21" s="11">
        <f>SUM(B15)-B16-B17-B18-B19-B20</f>
        <v>115330.5103</v>
      </c>
      <c r="C21" s="11">
        <f>SUM(C15)-C16-C17-C18-C19-C20</f>
        <v>79990.49099999998</v>
      </c>
      <c r="D21" s="11">
        <f>SUM(D15)-D16-D17-D18-D19-D20</f>
        <v>72579.826</v>
      </c>
      <c r="E21" s="20">
        <f t="shared" si="0"/>
        <v>62.93202536883252</v>
      </c>
      <c r="F21" s="20">
        <f t="shared" si="1"/>
        <v>90.7355675563987</v>
      </c>
      <c r="G21" s="66"/>
    </row>
    <row r="22" spans="1:7" s="3" customFormat="1" ht="15">
      <c r="A22" s="57" t="s">
        <v>14</v>
      </c>
      <c r="B22" s="25">
        <f>11416.945+8858.828</f>
        <v>20275.773</v>
      </c>
      <c r="C22" s="25">
        <f>11416.945+8858.828</f>
        <v>20275.773</v>
      </c>
      <c r="D22" s="25">
        <f>6661.912+10.153</f>
        <v>6672.0650000000005</v>
      </c>
      <c r="E22" s="20">
        <f t="shared" si="0"/>
        <v>32.90658758114919</v>
      </c>
      <c r="F22" s="20">
        <f t="shared" si="1"/>
        <v>32.90658758114919</v>
      </c>
      <c r="G22" s="66"/>
    </row>
    <row r="23" spans="1:7" s="2" customFormat="1" ht="28.5">
      <c r="A23" s="17" t="s">
        <v>28</v>
      </c>
      <c r="B23" s="18">
        <f>B24+B34</f>
        <v>660566.162</v>
      </c>
      <c r="C23" s="18">
        <f>C24+C34</f>
        <v>365608.93799999997</v>
      </c>
      <c r="D23" s="18">
        <f>D24+D34</f>
        <v>353939.04199999996</v>
      </c>
      <c r="E23" s="19">
        <f t="shared" si="0"/>
        <v>53.58116451626535</v>
      </c>
      <c r="F23" s="19">
        <f t="shared" si="1"/>
        <v>96.80809335137207</v>
      </c>
      <c r="G23" s="67"/>
    </row>
    <row r="24" spans="1:7" s="14" customFormat="1" ht="15">
      <c r="A24" s="30" t="s">
        <v>33</v>
      </c>
      <c r="B24" s="25">
        <v>657461.834</v>
      </c>
      <c r="C24" s="25">
        <v>363002.631</v>
      </c>
      <c r="D24" s="25">
        <v>353815.937</v>
      </c>
      <c r="E24" s="20">
        <f>SUM(D24)/B24*100</f>
        <v>53.8154336423428</v>
      </c>
      <c r="F24" s="20">
        <f>SUM(D24)/C24*100</f>
        <v>97.46924864574879</v>
      </c>
      <c r="G24" s="68"/>
    </row>
    <row r="25" spans="1:7" s="3" customFormat="1" ht="15">
      <c r="A25" s="12" t="s">
        <v>1</v>
      </c>
      <c r="B25" s="11">
        <v>10221.514</v>
      </c>
      <c r="C25" s="11">
        <v>7179.896</v>
      </c>
      <c r="D25" s="11">
        <v>7120.534</v>
      </c>
      <c r="E25" s="20">
        <f t="shared" si="0"/>
        <v>69.66222420670755</v>
      </c>
      <c r="F25" s="20">
        <f t="shared" si="1"/>
        <v>99.17321922211687</v>
      </c>
      <c r="G25" s="66"/>
    </row>
    <row r="26" spans="1:7" s="3" customFormat="1" ht="15">
      <c r="A26" s="12" t="s">
        <v>29</v>
      </c>
      <c r="B26" s="11">
        <v>3682.207</v>
      </c>
      <c r="C26" s="11">
        <v>2601.802</v>
      </c>
      <c r="D26" s="11">
        <v>2568.51</v>
      </c>
      <c r="E26" s="20">
        <f t="shared" si="0"/>
        <v>69.75463356622808</v>
      </c>
      <c r="F26" s="20">
        <f t="shared" si="1"/>
        <v>98.72042530523076</v>
      </c>
      <c r="G26" s="66"/>
    </row>
    <row r="27" spans="1:7" s="3" customFormat="1" ht="15">
      <c r="A27" s="12" t="s">
        <v>4</v>
      </c>
      <c r="B27" s="11">
        <v>71</v>
      </c>
      <c r="C27" s="11">
        <v>66.14</v>
      </c>
      <c r="D27" s="11">
        <v>66.14</v>
      </c>
      <c r="E27" s="20">
        <f t="shared" si="0"/>
        <v>93.15492957746478</v>
      </c>
      <c r="F27" s="20">
        <f t="shared" si="1"/>
        <v>100</v>
      </c>
      <c r="G27" s="66"/>
    </row>
    <row r="28" spans="1:7" s="3" customFormat="1" ht="15">
      <c r="A28" s="12" t="s">
        <v>5</v>
      </c>
      <c r="B28" s="11">
        <v>138.829</v>
      </c>
      <c r="C28" s="11">
        <v>104.38</v>
      </c>
      <c r="D28" s="11">
        <v>104.276</v>
      </c>
      <c r="E28" s="20">
        <f t="shared" si="0"/>
        <v>75.11110790973066</v>
      </c>
      <c r="F28" s="20">
        <f t="shared" si="1"/>
        <v>99.90036405441656</v>
      </c>
      <c r="G28" s="66"/>
    </row>
    <row r="29" spans="1:7" s="3" customFormat="1" ht="15">
      <c r="A29" s="12" t="s">
        <v>31</v>
      </c>
      <c r="B29" s="11">
        <v>1128.369</v>
      </c>
      <c r="C29" s="11">
        <v>687.765</v>
      </c>
      <c r="D29" s="11">
        <v>631.619</v>
      </c>
      <c r="E29" s="20">
        <f t="shared" si="0"/>
        <v>55.97628080884889</v>
      </c>
      <c r="F29" s="20">
        <f t="shared" si="1"/>
        <v>91.83645576614106</v>
      </c>
      <c r="G29" s="66"/>
    </row>
    <row r="30" spans="1:7" s="3" customFormat="1" ht="15">
      <c r="A30" s="12" t="s">
        <v>13</v>
      </c>
      <c r="B30" s="11">
        <f>SUM(B24)-B25-B26-B27-B28-B29</f>
        <v>642219.915</v>
      </c>
      <c r="C30" s="11">
        <f>SUM(C24)-C25-C26-C27-C28-C29</f>
        <v>352362.6479999999</v>
      </c>
      <c r="D30" s="11">
        <f>SUM(D24)-D25-D26-D27-D28-D29</f>
        <v>343324.85799999995</v>
      </c>
      <c r="E30" s="20">
        <f t="shared" si="0"/>
        <v>53.45907997885738</v>
      </c>
      <c r="F30" s="20">
        <f t="shared" si="1"/>
        <v>97.4350885227767</v>
      </c>
      <c r="G30" s="66"/>
    </row>
    <row r="31" spans="1:7" s="3" customFormat="1" ht="15">
      <c r="A31" s="12" t="s">
        <v>20</v>
      </c>
      <c r="B31" s="11">
        <f>SUM(B32:B33)</f>
        <v>627256.23</v>
      </c>
      <c r="C31" s="11">
        <f>SUM(C32:C33)</f>
        <v>341496.774</v>
      </c>
      <c r="D31" s="11">
        <f>SUM(D32:D33)</f>
        <v>334002.594</v>
      </c>
      <c r="E31" s="20">
        <f>SUM(D31)/B31*100</f>
        <v>53.24819077524347</v>
      </c>
      <c r="F31" s="20">
        <f>SUM(D31)/C31*100</f>
        <v>97.80549025039986</v>
      </c>
      <c r="G31" s="66"/>
    </row>
    <row r="32" spans="1:7" s="3" customFormat="1" ht="30">
      <c r="A32" s="13" t="s">
        <v>24</v>
      </c>
      <c r="B32" s="11">
        <v>393644.2</v>
      </c>
      <c r="C32" s="11">
        <v>268394.986</v>
      </c>
      <c r="D32" s="11">
        <v>268394.888</v>
      </c>
      <c r="E32" s="20">
        <f>SUM(D32)/B32*100</f>
        <v>68.18210150181305</v>
      </c>
      <c r="F32" s="20">
        <f>SUM(D32)/C32*100</f>
        <v>99.99996348665023</v>
      </c>
      <c r="G32" s="66"/>
    </row>
    <row r="33" spans="1:7" s="3" customFormat="1" ht="15">
      <c r="A33" s="13" t="s">
        <v>21</v>
      </c>
      <c r="B33" s="11">
        <v>233612.03</v>
      </c>
      <c r="C33" s="11">
        <v>73101.788</v>
      </c>
      <c r="D33" s="11">
        <v>65607.706</v>
      </c>
      <c r="E33" s="20">
        <f>SUM(D33)/B33*100</f>
        <v>28.084044301999345</v>
      </c>
      <c r="F33" s="20">
        <f>SUM(D33)/C33*100</f>
        <v>89.74842858836777</v>
      </c>
      <c r="G33" s="66"/>
    </row>
    <row r="34" spans="1:7" s="3" customFormat="1" ht="15">
      <c r="A34" s="30" t="s">
        <v>14</v>
      </c>
      <c r="B34" s="25">
        <f>2396.328+708</f>
        <v>3104.328</v>
      </c>
      <c r="C34" s="25">
        <f>2016.328+589.979</f>
        <v>2606.307</v>
      </c>
      <c r="D34" s="25">
        <v>123.105</v>
      </c>
      <c r="E34" s="20">
        <f>SUM(D34)/B34*100</f>
        <v>3.9655925533642065</v>
      </c>
      <c r="F34" s="20">
        <f>SUM(D34)/C34*100</f>
        <v>4.72334993536832</v>
      </c>
      <c r="G34" s="66"/>
    </row>
    <row r="35" spans="1:7" s="3" customFormat="1" ht="15">
      <c r="A35" s="12" t="s">
        <v>68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  <c r="G35" s="66"/>
    </row>
    <row r="36" spans="1:7" s="2" customFormat="1" ht="14.25">
      <c r="A36" s="17" t="s">
        <v>7</v>
      </c>
      <c r="B36" s="18">
        <f>B37+B42</f>
        <v>92798.887</v>
      </c>
      <c r="C36" s="18">
        <f>C37+C42</f>
        <v>60186.468</v>
      </c>
      <c r="D36" s="18">
        <f>D37+D42</f>
        <v>50783.68</v>
      </c>
      <c r="E36" s="19">
        <f t="shared" si="0"/>
        <v>54.724449443019715</v>
      </c>
      <c r="F36" s="19">
        <f t="shared" si="1"/>
        <v>84.37723908304437</v>
      </c>
      <c r="G36" s="67"/>
    </row>
    <row r="37" spans="1:7" s="14" customFormat="1" ht="15">
      <c r="A37" s="30" t="s">
        <v>33</v>
      </c>
      <c r="B37" s="25">
        <v>74360</v>
      </c>
      <c r="C37" s="25">
        <v>48758.784</v>
      </c>
      <c r="D37" s="25">
        <f>45352.405+83.999</f>
        <v>45436.404</v>
      </c>
      <c r="E37" s="20">
        <f>SUM(D37)/B37*100</f>
        <v>61.10328671328672</v>
      </c>
      <c r="F37" s="20">
        <f>SUM(D37)/C37*100</f>
        <v>93.18608930034023</v>
      </c>
      <c r="G37" s="68"/>
    </row>
    <row r="38" spans="1:7" s="3" customFormat="1" ht="15">
      <c r="A38" s="12" t="s">
        <v>1</v>
      </c>
      <c r="B38" s="11">
        <v>31364.465</v>
      </c>
      <c r="C38" s="11">
        <v>21454.981</v>
      </c>
      <c r="D38" s="11">
        <v>20458.366</v>
      </c>
      <c r="E38" s="20">
        <f t="shared" si="0"/>
        <v>65.22784941493502</v>
      </c>
      <c r="F38" s="20">
        <f t="shared" si="1"/>
        <v>95.35485489360256</v>
      </c>
      <c r="G38" s="66"/>
    </row>
    <row r="39" spans="1:7" s="3" customFormat="1" ht="15">
      <c r="A39" s="12" t="s">
        <v>29</v>
      </c>
      <c r="B39" s="11">
        <v>11457.301</v>
      </c>
      <c r="C39" s="11">
        <v>7921.986</v>
      </c>
      <c r="D39" s="11">
        <v>7474.64</v>
      </c>
      <c r="E39" s="20">
        <f t="shared" si="0"/>
        <v>65.2390995051976</v>
      </c>
      <c r="F39" s="20">
        <f t="shared" si="1"/>
        <v>94.35310792016043</v>
      </c>
      <c r="G39" s="66"/>
    </row>
    <row r="40" spans="1:7" s="3" customFormat="1" ht="15">
      <c r="A40" s="12" t="s">
        <v>31</v>
      </c>
      <c r="B40" s="11">
        <v>5418.531</v>
      </c>
      <c r="C40" s="11">
        <v>3088.921</v>
      </c>
      <c r="D40" s="11">
        <v>2900.746</v>
      </c>
      <c r="E40" s="20">
        <f t="shared" si="0"/>
        <v>53.5338083329227</v>
      </c>
      <c r="F40" s="20">
        <f t="shared" si="1"/>
        <v>93.90806692693016</v>
      </c>
      <c r="G40" s="66"/>
    </row>
    <row r="41" spans="1:7" s="3" customFormat="1" ht="15">
      <c r="A41" s="12" t="s">
        <v>13</v>
      </c>
      <c r="B41" s="11">
        <f>SUM(B37)-B38-B39-B40</f>
        <v>26119.703000000005</v>
      </c>
      <c r="C41" s="11">
        <f>SUM(C37)-C38-C39-C40</f>
        <v>16292.895999999999</v>
      </c>
      <c r="D41" s="11">
        <f>SUM(D37)-D38-D39-D40</f>
        <v>14602.652000000002</v>
      </c>
      <c r="E41" s="20">
        <f t="shared" si="0"/>
        <v>55.906654068769456</v>
      </c>
      <c r="F41" s="20">
        <f t="shared" si="1"/>
        <v>89.6258835752711</v>
      </c>
      <c r="G41" s="66"/>
    </row>
    <row r="42" spans="1:7" s="3" customFormat="1" ht="15">
      <c r="A42" s="30" t="s">
        <v>14</v>
      </c>
      <c r="B42" s="25">
        <f>9988.887+8450</f>
        <v>18438.887000000002</v>
      </c>
      <c r="C42" s="25">
        <f>8897.684+2530</f>
        <v>11427.684</v>
      </c>
      <c r="D42" s="25">
        <f>4804.425+542.851</f>
        <v>5347.276</v>
      </c>
      <c r="E42" s="20">
        <f t="shared" si="0"/>
        <v>28.99999332931537</v>
      </c>
      <c r="F42" s="20">
        <f t="shared" si="1"/>
        <v>46.79229842197247</v>
      </c>
      <c r="G42" s="66"/>
    </row>
    <row r="43" spans="1:7" s="2" customFormat="1" ht="14.25">
      <c r="A43" s="17" t="s">
        <v>8</v>
      </c>
      <c r="B43" s="18">
        <f>B44+B49</f>
        <v>42852.099</v>
      </c>
      <c r="C43" s="18">
        <f>C44+C49</f>
        <v>30746.824</v>
      </c>
      <c r="D43" s="18">
        <f>D44+D49</f>
        <v>26285.664</v>
      </c>
      <c r="E43" s="19">
        <f t="shared" si="0"/>
        <v>61.34043515581349</v>
      </c>
      <c r="F43" s="19">
        <f t="shared" si="1"/>
        <v>85.49066401134634</v>
      </c>
      <c r="G43" s="67"/>
    </row>
    <row r="44" spans="1:7" s="14" customFormat="1" ht="15">
      <c r="A44" s="30" t="s">
        <v>33</v>
      </c>
      <c r="B44" s="25">
        <v>37236.422</v>
      </c>
      <c r="C44" s="25">
        <v>25131.147</v>
      </c>
      <c r="D44" s="25">
        <f>24243.357+0.982</f>
        <v>24244.339</v>
      </c>
      <c r="E44" s="20">
        <f>SUM(D44)/B44*100</f>
        <v>65.10920678683897</v>
      </c>
      <c r="F44" s="20">
        <f>SUM(D44)/C44*100</f>
        <v>96.47127924563092</v>
      </c>
      <c r="G44" s="68"/>
    </row>
    <row r="45" spans="1:7" s="3" customFormat="1" ht="15">
      <c r="A45" s="12" t="s">
        <v>1</v>
      </c>
      <c r="B45" s="11">
        <v>18627.014</v>
      </c>
      <c r="C45" s="11">
        <v>12475.151</v>
      </c>
      <c r="D45" s="11">
        <v>12371.359</v>
      </c>
      <c r="E45" s="20">
        <f t="shared" si="0"/>
        <v>66.41622215992322</v>
      </c>
      <c r="F45" s="20">
        <f t="shared" si="1"/>
        <v>99.16801007057951</v>
      </c>
      <c r="G45" s="66"/>
    </row>
    <row r="46" spans="1:7" s="3" customFormat="1" ht="15">
      <c r="A46" s="12" t="s">
        <v>29</v>
      </c>
      <c r="B46" s="11">
        <v>6684.876</v>
      </c>
      <c r="C46" s="11">
        <v>4481.835</v>
      </c>
      <c r="D46" s="11">
        <v>4456.121</v>
      </c>
      <c r="E46" s="20">
        <f t="shared" si="0"/>
        <v>66.65974058456732</v>
      </c>
      <c r="F46" s="20">
        <f t="shared" si="1"/>
        <v>99.42626178786145</v>
      </c>
      <c r="G46" s="66"/>
    </row>
    <row r="47" spans="1:7" s="3" customFormat="1" ht="15">
      <c r="A47" s="12" t="s">
        <v>31</v>
      </c>
      <c r="B47" s="11">
        <v>3323.7</v>
      </c>
      <c r="C47" s="11">
        <v>1911.836</v>
      </c>
      <c r="D47" s="11">
        <v>1655.505</v>
      </c>
      <c r="E47" s="20">
        <f t="shared" si="0"/>
        <v>49.80909829406987</v>
      </c>
      <c r="F47" s="20">
        <f t="shared" si="1"/>
        <v>86.59241692279045</v>
      </c>
      <c r="G47" s="66"/>
    </row>
    <row r="48" spans="1:7" s="3" customFormat="1" ht="15">
      <c r="A48" s="12" t="s">
        <v>13</v>
      </c>
      <c r="B48" s="11">
        <f>SUM(B44)-B45-B46-B47</f>
        <v>8600.831999999999</v>
      </c>
      <c r="C48" s="11">
        <f>SUM(C44)-C45-C46-C47</f>
        <v>6262.325000000001</v>
      </c>
      <c r="D48" s="11">
        <f>SUM(D44)-D45-D46-D47</f>
        <v>5761.353999999999</v>
      </c>
      <c r="E48" s="20">
        <f t="shared" si="0"/>
        <v>66.98600786528559</v>
      </c>
      <c r="F48" s="20">
        <f t="shared" si="1"/>
        <v>92.00023952765144</v>
      </c>
      <c r="G48" s="66"/>
    </row>
    <row r="49" spans="1:7" s="3" customFormat="1" ht="15">
      <c r="A49" s="30" t="s">
        <v>14</v>
      </c>
      <c r="B49" s="25">
        <f>3008.9+2606.777</f>
        <v>5615.677</v>
      </c>
      <c r="C49" s="25">
        <f>2606.777+3008.9</f>
        <v>5615.677</v>
      </c>
      <c r="D49" s="25">
        <v>2041.325</v>
      </c>
      <c r="E49" s="20">
        <f t="shared" si="0"/>
        <v>36.35047029948482</v>
      </c>
      <c r="F49" s="20">
        <f t="shared" si="1"/>
        <v>36.35047029948482</v>
      </c>
      <c r="G49" s="66"/>
    </row>
    <row r="50" spans="1:7" s="3" customFormat="1" ht="14.25">
      <c r="A50" s="17" t="s">
        <v>0</v>
      </c>
      <c r="B50" s="18">
        <f>B51+B56</f>
        <v>76006.65000000001</v>
      </c>
      <c r="C50" s="18">
        <f>C51+C56</f>
        <v>52583.576</v>
      </c>
      <c r="D50" s="18">
        <f>D51+D56</f>
        <v>47860.303</v>
      </c>
      <c r="E50" s="19">
        <f t="shared" si="0"/>
        <v>62.968573144586685</v>
      </c>
      <c r="F50" s="19">
        <f t="shared" si="1"/>
        <v>91.01758883800524</v>
      </c>
      <c r="G50" s="66"/>
    </row>
    <row r="51" spans="1:7" s="3" customFormat="1" ht="15">
      <c r="A51" s="30" t="s">
        <v>33</v>
      </c>
      <c r="B51" s="25">
        <v>71612.02</v>
      </c>
      <c r="C51" s="25">
        <v>48288.946</v>
      </c>
      <c r="D51" s="25">
        <v>45584.201</v>
      </c>
      <c r="E51" s="20">
        <f>SUM(D51)/B51*100</f>
        <v>63.65439907993099</v>
      </c>
      <c r="F51" s="20">
        <f>SUM(D51)/C51*100</f>
        <v>94.3988319811329</v>
      </c>
      <c r="G51" s="66"/>
    </row>
    <row r="52" spans="1:7" s="3" customFormat="1" ht="15">
      <c r="A52" s="12" t="s">
        <v>1</v>
      </c>
      <c r="B52" s="11">
        <v>39280.644</v>
      </c>
      <c r="C52" s="11">
        <v>26446.51</v>
      </c>
      <c r="D52" s="11">
        <v>25900.228</v>
      </c>
      <c r="E52" s="20">
        <f t="shared" si="0"/>
        <v>65.93636295779672</v>
      </c>
      <c r="F52" s="20">
        <f t="shared" si="1"/>
        <v>97.9343890743996</v>
      </c>
      <c r="G52" s="66"/>
    </row>
    <row r="53" spans="1:7" s="3" customFormat="1" ht="15">
      <c r="A53" s="12" t="s">
        <v>29</v>
      </c>
      <c r="B53" s="11">
        <v>14184.781</v>
      </c>
      <c r="C53" s="11">
        <v>9563.045</v>
      </c>
      <c r="D53" s="11">
        <v>9377.99</v>
      </c>
      <c r="E53" s="20">
        <f t="shared" si="0"/>
        <v>66.11304044806894</v>
      </c>
      <c r="F53" s="20">
        <f t="shared" si="1"/>
        <v>98.06489460208542</v>
      </c>
      <c r="G53" s="66"/>
    </row>
    <row r="54" spans="1:7" s="3" customFormat="1" ht="15">
      <c r="A54" s="12" t="s">
        <v>31</v>
      </c>
      <c r="B54" s="11">
        <v>4114.146</v>
      </c>
      <c r="C54" s="11">
        <v>2508.45</v>
      </c>
      <c r="D54" s="11">
        <v>2313.483</v>
      </c>
      <c r="E54" s="20">
        <f t="shared" si="0"/>
        <v>56.232399141887534</v>
      </c>
      <c r="F54" s="20">
        <f t="shared" si="1"/>
        <v>92.2275907432877</v>
      </c>
      <c r="G54" s="66"/>
    </row>
    <row r="55" spans="1:7" s="3" customFormat="1" ht="15">
      <c r="A55" s="12" t="s">
        <v>13</v>
      </c>
      <c r="B55" s="11">
        <f>SUM(B51)-B52-B53-B54</f>
        <v>14032.449</v>
      </c>
      <c r="C55" s="11">
        <f>SUM(C51)-C52-C53-C54</f>
        <v>9770.941000000006</v>
      </c>
      <c r="D55" s="11">
        <f>SUM(D51)-D52-D53-D54</f>
        <v>7992.500000000002</v>
      </c>
      <c r="E55" s="20">
        <f t="shared" si="0"/>
        <v>56.957270965317605</v>
      </c>
      <c r="F55" s="20">
        <f t="shared" si="1"/>
        <v>81.79867220567596</v>
      </c>
      <c r="G55" s="66"/>
    </row>
    <row r="56" spans="1:7" s="3" customFormat="1" ht="15">
      <c r="A56" s="30" t="s">
        <v>14</v>
      </c>
      <c r="B56" s="25">
        <f>200+4194.63</f>
        <v>4394.63</v>
      </c>
      <c r="C56" s="25">
        <f>200+4094.63</f>
        <v>4294.63</v>
      </c>
      <c r="D56" s="25">
        <v>2276.102</v>
      </c>
      <c r="E56" s="20">
        <f t="shared" si="0"/>
        <v>51.79280166931004</v>
      </c>
      <c r="F56" s="20">
        <f t="shared" si="1"/>
        <v>52.998791514053586</v>
      </c>
      <c r="G56" s="66"/>
    </row>
    <row r="57" spans="1:7" s="3" customFormat="1" ht="14.25" customHeight="1">
      <c r="A57" s="21" t="s">
        <v>9</v>
      </c>
      <c r="B57" s="22">
        <f>B58+B63</f>
        <v>292732.544</v>
      </c>
      <c r="C57" s="22">
        <f>C58+C63</f>
        <v>203968.11099999998</v>
      </c>
      <c r="D57" s="22">
        <f>D58+D63</f>
        <v>119590.786</v>
      </c>
      <c r="E57" s="19">
        <f t="shared" si="0"/>
        <v>40.85325955422298</v>
      </c>
      <c r="F57" s="19">
        <f t="shared" si="1"/>
        <v>58.63209960306002</v>
      </c>
      <c r="G57" s="66"/>
    </row>
    <row r="58" spans="1:7" s="3" customFormat="1" ht="14.25" customHeight="1">
      <c r="A58" s="30" t="s">
        <v>33</v>
      </c>
      <c r="B58" s="25">
        <f>153051.148+35861.8</f>
        <v>188912.94799999997</v>
      </c>
      <c r="C58" s="25">
        <f>102266.821+13216.9</f>
        <v>115483.72099999999</v>
      </c>
      <c r="D58" s="25">
        <f>87525.465+111.386+10791.202</f>
        <v>98428.053</v>
      </c>
      <c r="E58" s="20">
        <f>SUM(D58)/B58*100</f>
        <v>52.102332869211274</v>
      </c>
      <c r="F58" s="20">
        <f>SUM(D58)/C58*100</f>
        <v>85.23110629592547</v>
      </c>
      <c r="G58" s="66"/>
    </row>
    <row r="59" spans="1:7" s="3" customFormat="1" ht="15">
      <c r="A59" s="12" t="s">
        <v>1</v>
      </c>
      <c r="B59" s="11">
        <v>423.637</v>
      </c>
      <c r="C59" s="11">
        <v>293.57</v>
      </c>
      <c r="D59" s="11">
        <v>238.816</v>
      </c>
      <c r="E59" s="20">
        <f t="shared" si="0"/>
        <v>56.37279085632275</v>
      </c>
      <c r="F59" s="20">
        <f t="shared" si="1"/>
        <v>81.34891167353612</v>
      </c>
      <c r="G59" s="66"/>
    </row>
    <row r="60" spans="1:7" s="3" customFormat="1" ht="15">
      <c r="A60" s="12" t="s">
        <v>29</v>
      </c>
      <c r="B60" s="11">
        <v>153.961</v>
      </c>
      <c r="C60" s="11">
        <v>106.405</v>
      </c>
      <c r="D60" s="11">
        <v>84.213</v>
      </c>
      <c r="E60" s="20">
        <f t="shared" si="0"/>
        <v>54.69761822799279</v>
      </c>
      <c r="F60" s="20">
        <f t="shared" si="1"/>
        <v>79.14383722569428</v>
      </c>
      <c r="G60" s="66"/>
    </row>
    <row r="61" spans="1:7" s="3" customFormat="1" ht="15">
      <c r="A61" s="12" t="s">
        <v>31</v>
      </c>
      <c r="B61" s="11">
        <v>15891.008</v>
      </c>
      <c r="C61" s="11">
        <v>9117.808</v>
      </c>
      <c r="D61" s="11">
        <f>8921.301+62.521</f>
        <v>8983.822</v>
      </c>
      <c r="E61" s="20">
        <f t="shared" si="0"/>
        <v>56.533997088164575</v>
      </c>
      <c r="F61" s="20">
        <f t="shared" si="1"/>
        <v>98.5305020680409</v>
      </c>
      <c r="G61" s="66"/>
    </row>
    <row r="62" spans="1:7" s="3" customFormat="1" ht="15">
      <c r="A62" s="12" t="s">
        <v>13</v>
      </c>
      <c r="B62" s="11">
        <f>SUM(B58)-B59-B60-B61</f>
        <v>172444.34199999998</v>
      </c>
      <c r="C62" s="11">
        <f>SUM(C58)-C59-C60-C61</f>
        <v>105965.93799999998</v>
      </c>
      <c r="D62" s="11">
        <f>SUM(D58)-D59-D60-D61</f>
        <v>89121.20199999999</v>
      </c>
      <c r="E62" s="20">
        <f t="shared" si="0"/>
        <v>51.681140109543286</v>
      </c>
      <c r="F62" s="20">
        <f t="shared" si="1"/>
        <v>84.10363148958301</v>
      </c>
      <c r="G62" s="66"/>
    </row>
    <row r="63" spans="1:7" s="3" customFormat="1" ht="15">
      <c r="A63" s="30" t="s">
        <v>14</v>
      </c>
      <c r="B63" s="25">
        <f>24767.4+79052.196</f>
        <v>103819.59599999999</v>
      </c>
      <c r="C63" s="25">
        <f>64436.99+24047.4</f>
        <v>88484.39</v>
      </c>
      <c r="D63" s="25">
        <v>21162.733</v>
      </c>
      <c r="E63" s="20">
        <f t="shared" si="0"/>
        <v>20.384141159632332</v>
      </c>
      <c r="F63" s="20">
        <f t="shared" si="1"/>
        <v>23.91691122015985</v>
      </c>
      <c r="G63" s="66"/>
    </row>
    <row r="64" spans="1:7" s="3" customFormat="1" ht="17.25" customHeight="1">
      <c r="A64" s="21" t="s">
        <v>23</v>
      </c>
      <c r="B64" s="22">
        <f>SUM(B65)</f>
        <v>90093.974</v>
      </c>
      <c r="C64" s="22">
        <f>SUM(C65)</f>
        <v>61367.407</v>
      </c>
      <c r="D64" s="22">
        <f>SUM(D65)</f>
        <v>14713.365</v>
      </c>
      <c r="E64" s="19">
        <f t="shared" si="0"/>
        <v>16.331131092075037</v>
      </c>
      <c r="F64" s="19">
        <f t="shared" si="1"/>
        <v>23.975862300976804</v>
      </c>
      <c r="G64" s="66"/>
    </row>
    <row r="65" spans="1:7" s="3" customFormat="1" ht="15">
      <c r="A65" s="30" t="s">
        <v>14</v>
      </c>
      <c r="B65" s="25">
        <f>27312.872+62781.102</f>
        <v>90093.974</v>
      </c>
      <c r="C65" s="25">
        <f>12552.814+48814.593</f>
        <v>61367.407</v>
      </c>
      <c r="D65" s="25">
        <v>14713.365</v>
      </c>
      <c r="E65" s="20">
        <f t="shared" si="0"/>
        <v>16.331131092075037</v>
      </c>
      <c r="F65" s="20">
        <f t="shared" si="1"/>
        <v>23.975862300976804</v>
      </c>
      <c r="G65" s="66"/>
    </row>
    <row r="66" spans="1:7" s="3" customFormat="1" ht="15" customHeight="1">
      <c r="A66" s="23" t="s">
        <v>18</v>
      </c>
      <c r="B66" s="22">
        <f>SUM(B67:B68)</f>
        <v>137091.726</v>
      </c>
      <c r="C66" s="22">
        <f>SUM(C67:C68)</f>
        <v>112947.146</v>
      </c>
      <c r="D66" s="22">
        <f>SUM(D67:D68)</f>
        <v>87532.897</v>
      </c>
      <c r="E66" s="19">
        <f t="shared" si="0"/>
        <v>63.849875958232516</v>
      </c>
      <c r="F66" s="19">
        <f t="shared" si="1"/>
        <v>77.49898966017255</v>
      </c>
      <c r="G66" s="66"/>
    </row>
    <row r="67" spans="1:7" s="3" customFormat="1" ht="15">
      <c r="A67" s="30" t="s">
        <v>13</v>
      </c>
      <c r="B67" s="25">
        <v>57202.187</v>
      </c>
      <c r="C67" s="25">
        <v>46475.022</v>
      </c>
      <c r="D67" s="25">
        <v>42093.495</v>
      </c>
      <c r="E67" s="20">
        <f t="shared" si="0"/>
        <v>73.58721267073234</v>
      </c>
      <c r="F67" s="20">
        <f t="shared" si="1"/>
        <v>90.57229709326442</v>
      </c>
      <c r="G67" s="66"/>
    </row>
    <row r="68" spans="1:7" s="3" customFormat="1" ht="15">
      <c r="A68" s="30" t="s">
        <v>14</v>
      </c>
      <c r="B68" s="25">
        <f>33337.668+46551.871</f>
        <v>79889.53899999999</v>
      </c>
      <c r="C68" s="25">
        <f>38866.456+27605.668</f>
        <v>66472.124</v>
      </c>
      <c r="D68" s="25">
        <v>45439.402</v>
      </c>
      <c r="E68" s="20">
        <f t="shared" si="0"/>
        <v>56.87778721567038</v>
      </c>
      <c r="F68" s="20">
        <f t="shared" si="1"/>
        <v>68.35858291514802</v>
      </c>
      <c r="G68" s="66"/>
    </row>
    <row r="69" spans="1:7" s="3" customFormat="1" ht="60.75" customHeight="1">
      <c r="A69" s="24" t="s">
        <v>22</v>
      </c>
      <c r="B69" s="22">
        <f>SUM(B70:B70)</f>
        <v>45970</v>
      </c>
      <c r="C69" s="22">
        <f>SUM(C70:C70)</f>
        <v>34370</v>
      </c>
      <c r="D69" s="22">
        <f>SUM(D70:D70)</f>
        <v>22812.4</v>
      </c>
      <c r="E69" s="19">
        <f t="shared" si="0"/>
        <v>49.62453774200566</v>
      </c>
      <c r="F69" s="19">
        <f t="shared" si="1"/>
        <v>66.3729997090486</v>
      </c>
      <c r="G69" s="66"/>
    </row>
    <row r="70" spans="1:7" s="3" customFormat="1" ht="15">
      <c r="A70" s="30" t="s">
        <v>14</v>
      </c>
      <c r="B70" s="25">
        <f>33100+12870</f>
        <v>45970</v>
      </c>
      <c r="C70" s="25">
        <f>21500+12870</f>
        <v>34370</v>
      </c>
      <c r="D70" s="25">
        <v>22812.4</v>
      </c>
      <c r="E70" s="20">
        <f t="shared" si="0"/>
        <v>49.62453774200566</v>
      </c>
      <c r="F70" s="20">
        <f t="shared" si="1"/>
        <v>66.3729997090486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5549.722</v>
      </c>
      <c r="D71" s="18">
        <f>SUM(D72)+D75</f>
        <v>2911.152</v>
      </c>
      <c r="E71" s="19">
        <f t="shared" si="0"/>
        <v>42.756355838853224</v>
      </c>
      <c r="F71" s="19">
        <f t="shared" si="1"/>
        <v>52.45581670577374</v>
      </c>
      <c r="G71" s="66"/>
    </row>
    <row r="72" spans="1:7" s="3" customFormat="1" ht="15">
      <c r="A72" s="30" t="s">
        <v>33</v>
      </c>
      <c r="B72" s="25">
        <v>5036.657</v>
      </c>
      <c r="C72" s="25">
        <v>3777.679</v>
      </c>
      <c r="D72" s="25">
        <v>2911.152</v>
      </c>
      <c r="E72" s="20">
        <f>SUM(D72)/B72*100</f>
        <v>57.799290283217616</v>
      </c>
      <c r="F72" s="20">
        <f>SUM(D72)/C72*100</f>
        <v>77.06192082492981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SUM(B71)-B73</f>
        <v>6802.628000000001</v>
      </c>
      <c r="C74" s="11">
        <f>SUM(C71)-C73</f>
        <v>5545.05</v>
      </c>
      <c r="D74" s="11">
        <f>SUM(D71)-D73</f>
        <v>2909.6620000000003</v>
      </c>
      <c r="E74" s="20">
        <f aca="true" t="shared" si="2" ref="E74:E92">SUM(D74)/B74*100</f>
        <v>42.772616700486935</v>
      </c>
      <c r="F74" s="20">
        <f aca="true" t="shared" si="3" ref="F74:F92">SUM(D74)/C74*100</f>
        <v>52.473142712870036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v>1772.043</v>
      </c>
      <c r="D75" s="25"/>
      <c r="E75" s="20">
        <f t="shared" si="2"/>
        <v>0</v>
      </c>
      <c r="F75" s="20">
        <f t="shared" si="3"/>
        <v>0</v>
      </c>
      <c r="G75" s="66"/>
    </row>
    <row r="76" spans="1:7" s="3" customFormat="1" ht="15">
      <c r="A76" s="23" t="s">
        <v>11</v>
      </c>
      <c r="B76" s="25">
        <v>2500</v>
      </c>
      <c r="C76" s="25">
        <v>200</v>
      </c>
      <c r="D76" s="25"/>
      <c r="E76" s="19">
        <f t="shared" si="2"/>
        <v>0</v>
      </c>
      <c r="F76" s="19"/>
      <c r="G76" s="66"/>
    </row>
    <row r="77" spans="1:7" s="3" customFormat="1" ht="15">
      <c r="A77" s="23" t="s">
        <v>12</v>
      </c>
      <c r="B77" s="25">
        <v>18418.4</v>
      </c>
      <c r="C77" s="25">
        <v>12279.2</v>
      </c>
      <c r="D77" s="25">
        <v>12279.2</v>
      </c>
      <c r="E77" s="19">
        <f t="shared" si="2"/>
        <v>66.66811449420145</v>
      </c>
      <c r="F77" s="19">
        <f t="shared" si="3"/>
        <v>100</v>
      </c>
      <c r="G77" s="66"/>
    </row>
    <row r="78" spans="1:7" s="2" customFormat="1" ht="14.25">
      <c r="A78" s="17" t="s">
        <v>19</v>
      </c>
      <c r="B78" s="18">
        <f>SUM(B79)+B83</f>
        <v>7700.507</v>
      </c>
      <c r="C78" s="18">
        <f>SUM(C79)+C83</f>
        <v>6627.45</v>
      </c>
      <c r="D78" s="18">
        <f>SUM(D79)+D83</f>
        <v>3750.55</v>
      </c>
      <c r="E78" s="19">
        <f t="shared" si="2"/>
        <v>48.705234603383914</v>
      </c>
      <c r="F78" s="19">
        <f t="shared" si="3"/>
        <v>56.59114742472595</v>
      </c>
      <c r="G78" s="67"/>
    </row>
    <row r="79" spans="1:7" s="2" customFormat="1" ht="15">
      <c r="A79" s="30" t="s">
        <v>33</v>
      </c>
      <c r="B79" s="25">
        <f>3863.4+118.99</f>
        <v>3982.39</v>
      </c>
      <c r="C79" s="25">
        <f>2650.631+258.702</f>
        <v>2909.3329999999996</v>
      </c>
      <c r="D79" s="25">
        <f>1892.628+2.563-350.816+717.4+18.332</f>
        <v>2280.107</v>
      </c>
      <c r="E79" s="20">
        <f>SUM(D79)/B79*100</f>
        <v>57.25473898839641</v>
      </c>
      <c r="F79" s="20">
        <f>SUM(D79)/C79*100</f>
        <v>78.37215609213521</v>
      </c>
      <c r="G79" s="67"/>
    </row>
    <row r="80" spans="1:7" s="3" customFormat="1" ht="15">
      <c r="A80" s="12" t="s">
        <v>1</v>
      </c>
      <c r="B80" s="11">
        <v>98.3</v>
      </c>
      <c r="C80" s="11">
        <v>98.3</v>
      </c>
      <c r="D80" s="11">
        <v>77.317</v>
      </c>
      <c r="E80" s="20">
        <f t="shared" si="2"/>
        <v>78.65412004069175</v>
      </c>
      <c r="F80" s="20">
        <f t="shared" si="3"/>
        <v>78.65412004069175</v>
      </c>
      <c r="G80" s="66"/>
    </row>
    <row r="81" spans="1:7" s="3" customFormat="1" ht="15">
      <c r="A81" s="12" t="s">
        <v>29</v>
      </c>
      <c r="B81" s="11">
        <v>33.7</v>
      </c>
      <c r="C81" s="11">
        <v>33.7</v>
      </c>
      <c r="D81" s="11">
        <v>26.829</v>
      </c>
      <c r="E81" s="20">
        <f t="shared" si="2"/>
        <v>79.61127596439168</v>
      </c>
      <c r="F81" s="20">
        <f t="shared" si="3"/>
        <v>79.61127596439168</v>
      </c>
      <c r="G81" s="66"/>
    </row>
    <row r="82" spans="1:7" s="3" customFormat="1" ht="15">
      <c r="A82" s="12" t="s">
        <v>13</v>
      </c>
      <c r="B82" s="11">
        <f>SUM(B79)-B80-B81</f>
        <v>3850.39</v>
      </c>
      <c r="C82" s="11">
        <f>SUM(C79)-C80-C81</f>
        <v>2777.3329999999996</v>
      </c>
      <c r="D82" s="11">
        <f>SUM(D79)-D80-D81</f>
        <v>2175.961</v>
      </c>
      <c r="E82" s="20">
        <f t="shared" si="2"/>
        <v>56.512742865008484</v>
      </c>
      <c r="F82" s="20">
        <f t="shared" si="3"/>
        <v>78.347140944208</v>
      </c>
      <c r="G82" s="66"/>
    </row>
    <row r="83" spans="1:7" s="3" customFormat="1" ht="15">
      <c r="A83" s="30" t="s">
        <v>14</v>
      </c>
      <c r="B83" s="25">
        <f>2400.117+1318</f>
        <v>3718.117</v>
      </c>
      <c r="C83" s="25">
        <f>2400.117+1318</f>
        <v>3718.117</v>
      </c>
      <c r="D83" s="25">
        <f>142.214+1328.229</f>
        <v>1470.443</v>
      </c>
      <c r="E83" s="20">
        <f t="shared" si="2"/>
        <v>39.54805618005028</v>
      </c>
      <c r="F83" s="20">
        <f t="shared" si="3"/>
        <v>39.54805618005028</v>
      </c>
      <c r="G83" s="66"/>
    </row>
    <row r="84" spans="1:7" s="3" customFormat="1" ht="40.5">
      <c r="A84" s="26" t="s">
        <v>25</v>
      </c>
      <c r="B84" s="18">
        <f>2005.5+11186.092</f>
        <v>13191.592</v>
      </c>
      <c r="C84" s="18">
        <f>2005.5+11186.092</f>
        <v>13191.592</v>
      </c>
      <c r="D84" s="18">
        <f>11186.092+1705.5</f>
        <v>12891.592</v>
      </c>
      <c r="E84" s="19">
        <f t="shared" si="2"/>
        <v>97.72582414616826</v>
      </c>
      <c r="F84" s="19">
        <f t="shared" si="3"/>
        <v>97.72582414616826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2405643.8750000005</v>
      </c>
      <c r="C85" s="28">
        <f>C5+C14+C23+C36+C43+C50+C57+C64+C66+C69+C71+C76+C77+C78+C84</f>
        <v>1582363.1579999996</v>
      </c>
      <c r="D85" s="28">
        <f>D5+D14+D23+D36+D43+D50+D57+D64+D66+D69+D71+D76+D77+D78+D84</f>
        <v>1327482.469</v>
      </c>
      <c r="E85" s="19">
        <f t="shared" si="2"/>
        <v>55.182002739287405</v>
      </c>
      <c r="F85" s="19">
        <f t="shared" si="3"/>
        <v>83.8924024670701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1980170.1579999998</v>
      </c>
      <c r="C86" s="28">
        <f>C6+C15+C24+C37+C44+C51+C58+C67+C72+C79+C77</f>
        <v>1248431.706</v>
      </c>
      <c r="D86" s="28">
        <f>D6+D15+D24+D37+D44+D51+D58+D67+D72+D79+D77</f>
        <v>1178351.51</v>
      </c>
      <c r="E86" s="19">
        <f>SUM(D86)/B86*100</f>
        <v>59.507588539267346</v>
      </c>
      <c r="F86" s="19">
        <f>SUM(D86)/C86*100</f>
        <v>94.38654147734373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517453.21</v>
      </c>
      <c r="C87" s="22">
        <f t="shared" si="4"/>
        <v>357395.05600000004</v>
      </c>
      <c r="D87" s="22">
        <f t="shared" si="4"/>
        <v>348982.15699999995</v>
      </c>
      <c r="E87" s="19">
        <f t="shared" si="2"/>
        <v>67.44226342706425</v>
      </c>
      <c r="F87" s="19">
        <f t="shared" si="3"/>
        <v>97.64605053741984</v>
      </c>
      <c r="G87" s="70"/>
    </row>
    <row r="88" spans="1:6" ht="15">
      <c r="A88" s="29" t="s">
        <v>30</v>
      </c>
      <c r="B88" s="22">
        <f t="shared" si="4"/>
        <v>187681.641</v>
      </c>
      <c r="C88" s="22">
        <f t="shared" si="4"/>
        <v>129062.516</v>
      </c>
      <c r="D88" s="22">
        <f t="shared" si="4"/>
        <v>126488.12500000001</v>
      </c>
      <c r="E88" s="19">
        <f t="shared" si="2"/>
        <v>67.39504424942662</v>
      </c>
      <c r="F88" s="19">
        <f t="shared" si="3"/>
        <v>98.00531472670191</v>
      </c>
    </row>
    <row r="89" spans="1:6" ht="15">
      <c r="A89" s="29" t="s">
        <v>2</v>
      </c>
      <c r="B89" s="22">
        <f>B73+B11+B20+B29+B40+B47+B54+B61</f>
        <v>138079.631</v>
      </c>
      <c r="C89" s="22">
        <f>C73+C11+C20+C29+C40+C47+C54+C61</f>
        <v>80189.51</v>
      </c>
      <c r="D89" s="22">
        <f>D73+D11+D20+D29+D40+D47+D54+D61</f>
        <v>70353.755</v>
      </c>
      <c r="E89" s="19">
        <f t="shared" si="2"/>
        <v>50.951580975763186</v>
      </c>
      <c r="F89" s="19">
        <f t="shared" si="3"/>
        <v>87.73436201318603</v>
      </c>
    </row>
    <row r="90" spans="1:6" ht="15">
      <c r="A90" s="29" t="s">
        <v>13</v>
      </c>
      <c r="B90" s="22">
        <f>B86-B87-B88-B89</f>
        <v>1136955.6759999997</v>
      </c>
      <c r="C90" s="22">
        <f>C86-C87-C88-C89</f>
        <v>681784.6239999998</v>
      </c>
      <c r="D90" s="22">
        <f>D86-D87-D88-D89</f>
        <v>632527.4730000001</v>
      </c>
      <c r="E90" s="19">
        <f t="shared" si="2"/>
        <v>55.63343289030735</v>
      </c>
      <c r="F90" s="19">
        <f t="shared" si="3"/>
        <v>92.77526226522824</v>
      </c>
    </row>
    <row r="91" spans="1:6" ht="15">
      <c r="A91" s="17" t="s">
        <v>14</v>
      </c>
      <c r="B91" s="18">
        <f>B13+B22+B42+B34+B56+B63+B65+B68+B70+B75+B83+B49</f>
        <v>409782.12500000006</v>
      </c>
      <c r="C91" s="18">
        <f>C13+C22+C42+C34+C56+C63+C65+C68+C70+C75+C83+C49</f>
        <v>320539.86000000004</v>
      </c>
      <c r="D91" s="18">
        <f>D13+D22+D42+D34+D56+D63+D65+D68+D70+D75+D83+D49</f>
        <v>136239.367</v>
      </c>
      <c r="E91" s="19">
        <f t="shared" si="2"/>
        <v>33.246781323123834</v>
      </c>
      <c r="F91" s="19">
        <f t="shared" si="3"/>
        <v>42.50309680674347</v>
      </c>
    </row>
    <row r="92" spans="1:6" ht="15">
      <c r="A92" s="17" t="s">
        <v>26</v>
      </c>
      <c r="B92" s="18">
        <f>SUM(B84)</f>
        <v>13191.592</v>
      </c>
      <c r="C92" s="18">
        <f>SUM(C84)</f>
        <v>13191.592</v>
      </c>
      <c r="D92" s="18">
        <f>SUM(D84)</f>
        <v>12891.592</v>
      </c>
      <c r="E92" s="19">
        <f t="shared" si="2"/>
        <v>97.72582414616826</v>
      </c>
      <c r="F92" s="19">
        <f t="shared" si="3"/>
        <v>97.72582414616826</v>
      </c>
    </row>
    <row r="93" spans="1:6" ht="15">
      <c r="A93" s="17" t="s">
        <v>32</v>
      </c>
      <c r="B93" s="18">
        <f>SUM(B76)</f>
        <v>2500</v>
      </c>
      <c r="C93" s="18">
        <f>SUM(C76)</f>
        <v>200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">
      <selection activeCell="B5" sqref="B5:D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75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72</v>
      </c>
      <c r="D3" s="34" t="s">
        <v>76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560974.284</v>
      </c>
      <c r="C5" s="18">
        <f>C6+C13</f>
        <v>374297.385</v>
      </c>
      <c r="D5" s="18">
        <f>D6+D13</f>
        <v>348590.36</v>
      </c>
      <c r="E5" s="19">
        <f>SUM(D5)/B5*100</f>
        <v>62.14016755178032</v>
      </c>
      <c r="F5" s="19">
        <f>SUM(D5)/C5*100</f>
        <v>93.13192503335281</v>
      </c>
      <c r="G5" s="38"/>
    </row>
    <row r="6" spans="1:6" s="41" customFormat="1" ht="15">
      <c r="A6" s="40" t="s">
        <v>39</v>
      </c>
      <c r="B6" s="55">
        <v>528284.723</v>
      </c>
      <c r="C6" s="25">
        <v>354161.677</v>
      </c>
      <c r="D6" s="25">
        <v>334409.209</v>
      </c>
      <c r="E6" s="20">
        <f>SUM(D6)/B6*100</f>
        <v>63.30094254873995</v>
      </c>
      <c r="F6" s="20">
        <f>SUM(D6)/C6*100</f>
        <v>94.42275398983949</v>
      </c>
    </row>
    <row r="7" spans="1:6" s="41" customFormat="1" ht="15">
      <c r="A7" s="42" t="s">
        <v>40</v>
      </c>
      <c r="B7" s="11">
        <v>287934.461</v>
      </c>
      <c r="C7" s="11">
        <v>201811.135</v>
      </c>
      <c r="D7" s="11">
        <v>195756.07</v>
      </c>
      <c r="E7" s="20">
        <f aca="true" t="shared" si="0" ref="E7:E73">SUM(D7)/B7*100</f>
        <v>67.98632901394876</v>
      </c>
      <c r="F7" s="20">
        <f aca="true" t="shared" si="1" ref="F7:F73">SUM(D7)/C7*100</f>
        <v>96.99963780492092</v>
      </c>
    </row>
    <row r="8" spans="1:6" s="41" customFormat="1" ht="15">
      <c r="A8" s="42" t="s">
        <v>41</v>
      </c>
      <c r="B8" s="11">
        <v>104517.487</v>
      </c>
      <c r="C8" s="11">
        <v>72705.803</v>
      </c>
      <c r="D8" s="11">
        <v>71599.354</v>
      </c>
      <c r="E8" s="20">
        <f t="shared" si="0"/>
        <v>68.50466467874415</v>
      </c>
      <c r="F8" s="20">
        <f t="shared" si="1"/>
        <v>98.47818337141535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f>40.161+1.572</f>
        <v>41.733000000000004</v>
      </c>
      <c r="E9" s="20">
        <f t="shared" si="0"/>
        <v>57.10044193905893</v>
      </c>
      <c r="F9" s="20"/>
    </row>
    <row r="10" spans="1:6" s="41" customFormat="1" ht="15">
      <c r="A10" s="42" t="s">
        <v>43</v>
      </c>
      <c r="B10" s="11">
        <v>33349.211</v>
      </c>
      <c r="C10" s="11">
        <v>17365.895</v>
      </c>
      <c r="D10" s="11">
        <v>16437.992</v>
      </c>
      <c r="E10" s="20">
        <f t="shared" si="0"/>
        <v>49.290497457346135</v>
      </c>
      <c r="F10" s="20">
        <f t="shared" si="1"/>
        <v>94.6567510629311</v>
      </c>
    </row>
    <row r="11" spans="1:6" s="41" customFormat="1" ht="30">
      <c r="A11" s="42" t="s">
        <v>44</v>
      </c>
      <c r="B11" s="11">
        <v>77973.395</v>
      </c>
      <c r="C11" s="11">
        <v>45343.062</v>
      </c>
      <c r="D11" s="11">
        <f>37862.996+4.514</f>
        <v>37867.51</v>
      </c>
      <c r="E11" s="20">
        <f t="shared" si="0"/>
        <v>48.56465464919156</v>
      </c>
      <c r="F11" s="20">
        <f t="shared" si="1"/>
        <v>83.51334984831858</v>
      </c>
    </row>
    <row r="12" spans="1:6" s="41" customFormat="1" ht="15">
      <c r="A12" s="42" t="s">
        <v>45</v>
      </c>
      <c r="B12" s="11">
        <f>SUM(B6)-B7-B8-B9-B10-B11</f>
        <v>24437.08199999998</v>
      </c>
      <c r="C12" s="11">
        <f>SUM(C6)-C7-C8-C9-C10-C11</f>
        <v>16862.695000000014</v>
      </c>
      <c r="D12" s="11">
        <f>SUM(D6)-D7-D8-D9-D10-D11</f>
        <v>12706.549999999967</v>
      </c>
      <c r="E12" s="20">
        <f t="shared" si="0"/>
        <v>51.997001933373134</v>
      </c>
      <c r="F12" s="20">
        <f t="shared" si="1"/>
        <v>75.353020380194</v>
      </c>
    </row>
    <row r="13" spans="1:6" s="41" customFormat="1" ht="15">
      <c r="A13" s="40" t="s">
        <v>46</v>
      </c>
      <c r="B13" s="58">
        <f>15516.755+17172.806</f>
        <v>32689.561</v>
      </c>
      <c r="C13" s="25">
        <f>8911.26+11224.448</f>
        <v>20135.708</v>
      </c>
      <c r="D13" s="25">
        <f>14073.765+107.386</f>
        <v>14181.151</v>
      </c>
      <c r="E13" s="20">
        <f t="shared" si="0"/>
        <v>43.38128309523642</v>
      </c>
      <c r="F13" s="20">
        <f t="shared" si="1"/>
        <v>70.42787370575697</v>
      </c>
    </row>
    <row r="14" spans="1:6" s="39" customFormat="1" ht="14.25">
      <c r="A14" s="37" t="s">
        <v>47</v>
      </c>
      <c r="B14" s="18">
        <f>B15+B22</f>
        <v>357938.35</v>
      </c>
      <c r="C14" s="18">
        <f>C15+C22</f>
        <v>248439.33899999998</v>
      </c>
      <c r="D14" s="18">
        <f>D15+D22</f>
        <v>223541.478</v>
      </c>
      <c r="E14" s="19">
        <f t="shared" si="0"/>
        <v>62.452508371902596</v>
      </c>
      <c r="F14" s="19">
        <f t="shared" si="1"/>
        <v>89.97829365501573</v>
      </c>
    </row>
    <row r="15" spans="1:6" s="41" customFormat="1" ht="15">
      <c r="A15" s="40" t="s">
        <v>48</v>
      </c>
      <c r="B15" s="25">
        <f>312594.577+25068</f>
        <v>337662.577</v>
      </c>
      <c r="C15" s="25">
        <f>211410.274+16753.292</f>
        <v>228163.566</v>
      </c>
      <c r="D15" s="25">
        <f>199952.39+163.731+16753.292</f>
        <v>216869.413</v>
      </c>
      <c r="E15" s="20">
        <f>SUM(D15)/B15*100</f>
        <v>64.22666524872255</v>
      </c>
      <c r="F15" s="20">
        <f>SUM(D15)/C15*100</f>
        <v>95.04997524451385</v>
      </c>
    </row>
    <row r="16" spans="1:6" s="41" customFormat="1" ht="15">
      <c r="A16" s="42" t="s">
        <v>40</v>
      </c>
      <c r="B16" s="11">
        <v>129503.175</v>
      </c>
      <c r="C16" s="11">
        <v>87635.513</v>
      </c>
      <c r="D16" s="11">
        <v>87059.467</v>
      </c>
      <c r="E16" s="20">
        <f t="shared" si="0"/>
        <v>67.22573944615644</v>
      </c>
      <c r="F16" s="20">
        <f t="shared" si="1"/>
        <v>99.34267971935076</v>
      </c>
    </row>
    <row r="17" spans="1:6" s="41" customFormat="1" ht="15">
      <c r="A17" s="42" t="s">
        <v>41</v>
      </c>
      <c r="B17" s="11">
        <v>46967.328</v>
      </c>
      <c r="C17" s="11">
        <v>31647.94</v>
      </c>
      <c r="D17" s="11">
        <v>30900.468</v>
      </c>
      <c r="E17" s="20">
        <f t="shared" si="0"/>
        <v>65.79141142540618</v>
      </c>
      <c r="F17" s="20">
        <f t="shared" si="1"/>
        <v>97.63816539085957</v>
      </c>
    </row>
    <row r="18" spans="1:6" s="41" customFormat="1" ht="15">
      <c r="A18" s="42" t="s">
        <v>42</v>
      </c>
      <c r="B18" s="58">
        <v>11580.2697</v>
      </c>
      <c r="C18" s="11">
        <v>8579.259</v>
      </c>
      <c r="D18" s="11">
        <f>7644.909+3.424</f>
        <v>7648.333</v>
      </c>
      <c r="E18" s="20">
        <f t="shared" si="0"/>
        <v>66.04624242905153</v>
      </c>
      <c r="F18" s="20">
        <f t="shared" si="1"/>
        <v>89.14910949768505</v>
      </c>
    </row>
    <row r="19" spans="1:6" s="41" customFormat="1" ht="15">
      <c r="A19" s="42" t="s">
        <v>43</v>
      </c>
      <c r="B19" s="11">
        <v>4056.884</v>
      </c>
      <c r="C19" s="11">
        <v>2783.367</v>
      </c>
      <c r="D19" s="11">
        <v>2681.739</v>
      </c>
      <c r="E19" s="20">
        <f t="shared" si="0"/>
        <v>66.10341828851897</v>
      </c>
      <c r="F19" s="20">
        <f t="shared" si="1"/>
        <v>96.34873877573456</v>
      </c>
    </row>
    <row r="20" spans="1:6" s="41" customFormat="1" ht="30">
      <c r="A20" s="42" t="s">
        <v>44</v>
      </c>
      <c r="B20" s="11">
        <v>30224.41</v>
      </c>
      <c r="C20" s="11">
        <v>17526.996</v>
      </c>
      <c r="D20" s="11">
        <v>15999.58</v>
      </c>
      <c r="E20" s="20">
        <f t="shared" si="0"/>
        <v>52.935954746511186</v>
      </c>
      <c r="F20" s="20">
        <f t="shared" si="1"/>
        <v>91.28535203636721</v>
      </c>
    </row>
    <row r="21" spans="1:6" s="41" customFormat="1" ht="15">
      <c r="A21" s="42" t="s">
        <v>45</v>
      </c>
      <c r="B21" s="11">
        <f>SUM(B15)-B16-B17-B18-B19-B20</f>
        <v>115330.5103</v>
      </c>
      <c r="C21" s="11">
        <f>SUM(C15)-C16-C17-C18-C19-C20</f>
        <v>79990.49099999998</v>
      </c>
      <c r="D21" s="11">
        <f>SUM(D15)-D16-D17-D18-D19-D20</f>
        <v>72579.826</v>
      </c>
      <c r="E21" s="20">
        <f t="shared" si="0"/>
        <v>62.93202536883252</v>
      </c>
      <c r="F21" s="20">
        <f t="shared" si="1"/>
        <v>90.7355675563987</v>
      </c>
    </row>
    <row r="22" spans="1:6" s="41" customFormat="1" ht="15">
      <c r="A22" s="40" t="s">
        <v>46</v>
      </c>
      <c r="B22" s="25">
        <f>11416.945+8858.828</f>
        <v>20275.773</v>
      </c>
      <c r="C22" s="25">
        <f>11416.945+8858.828</f>
        <v>20275.773</v>
      </c>
      <c r="D22" s="25">
        <f>6661.912+10.153</f>
        <v>6672.0650000000005</v>
      </c>
      <c r="E22" s="20">
        <f t="shared" si="0"/>
        <v>32.90658758114919</v>
      </c>
      <c r="F22" s="20">
        <f t="shared" si="1"/>
        <v>32.90658758114919</v>
      </c>
    </row>
    <row r="23" spans="1:6" s="39" customFormat="1" ht="28.5">
      <c r="A23" s="37" t="s">
        <v>64</v>
      </c>
      <c r="B23" s="18">
        <f>B24+B34</f>
        <v>660566.162</v>
      </c>
      <c r="C23" s="18">
        <f>C24+C34</f>
        <v>365608.93799999997</v>
      </c>
      <c r="D23" s="18">
        <f>D24+D34</f>
        <v>353939.04199999996</v>
      </c>
      <c r="E23" s="19">
        <f t="shared" si="0"/>
        <v>53.58116451626535</v>
      </c>
      <c r="F23" s="19">
        <f t="shared" si="1"/>
        <v>96.80809335137207</v>
      </c>
    </row>
    <row r="24" spans="1:6" s="41" customFormat="1" ht="15">
      <c r="A24" s="40" t="s">
        <v>48</v>
      </c>
      <c r="B24" s="25">
        <v>657461.834</v>
      </c>
      <c r="C24" s="25">
        <v>363002.631</v>
      </c>
      <c r="D24" s="25">
        <v>353815.937</v>
      </c>
      <c r="E24" s="20">
        <f>SUM(D24)/B24*100</f>
        <v>53.8154336423428</v>
      </c>
      <c r="F24" s="20">
        <f>SUM(D24)/C24*100</f>
        <v>97.46924864574879</v>
      </c>
    </row>
    <row r="25" spans="1:6" s="41" customFormat="1" ht="15">
      <c r="A25" s="42" t="s">
        <v>40</v>
      </c>
      <c r="B25" s="11">
        <v>10221.514</v>
      </c>
      <c r="C25" s="11">
        <v>7179.896</v>
      </c>
      <c r="D25" s="11">
        <v>7120.534</v>
      </c>
      <c r="E25" s="20">
        <f t="shared" si="0"/>
        <v>69.66222420670755</v>
      </c>
      <c r="F25" s="20">
        <f t="shared" si="1"/>
        <v>99.17321922211687</v>
      </c>
    </row>
    <row r="26" spans="1:6" s="41" customFormat="1" ht="15">
      <c r="A26" s="42" t="s">
        <v>41</v>
      </c>
      <c r="B26" s="11">
        <v>3682.207</v>
      </c>
      <c r="C26" s="11">
        <v>2601.802</v>
      </c>
      <c r="D26" s="11">
        <v>2568.51</v>
      </c>
      <c r="E26" s="20">
        <f t="shared" si="0"/>
        <v>69.75463356622808</v>
      </c>
      <c r="F26" s="20">
        <f t="shared" si="1"/>
        <v>98.72042530523076</v>
      </c>
    </row>
    <row r="27" spans="1:6" s="41" customFormat="1" ht="15">
      <c r="A27" s="42" t="s">
        <v>42</v>
      </c>
      <c r="B27" s="11">
        <v>71</v>
      </c>
      <c r="C27" s="11">
        <v>66.14</v>
      </c>
      <c r="D27" s="11">
        <v>66.14</v>
      </c>
      <c r="E27" s="20">
        <f t="shared" si="0"/>
        <v>93.15492957746478</v>
      </c>
      <c r="F27" s="20">
        <f t="shared" si="1"/>
        <v>100</v>
      </c>
    </row>
    <row r="28" spans="1:6" s="41" customFormat="1" ht="15">
      <c r="A28" s="42" t="s">
        <v>43</v>
      </c>
      <c r="B28" s="11">
        <v>138.829</v>
      </c>
      <c r="C28" s="11">
        <v>104.38</v>
      </c>
      <c r="D28" s="11">
        <v>104.276</v>
      </c>
      <c r="E28" s="20">
        <f t="shared" si="0"/>
        <v>75.11110790973066</v>
      </c>
      <c r="F28" s="20">
        <f t="shared" si="1"/>
        <v>99.90036405441656</v>
      </c>
    </row>
    <row r="29" spans="1:6" s="41" customFormat="1" ht="30">
      <c r="A29" s="42" t="s">
        <v>44</v>
      </c>
      <c r="B29" s="11">
        <v>1128.369</v>
      </c>
      <c r="C29" s="11">
        <v>687.765</v>
      </c>
      <c r="D29" s="11">
        <v>631.619</v>
      </c>
      <c r="E29" s="20">
        <f t="shared" si="0"/>
        <v>55.97628080884889</v>
      </c>
      <c r="F29" s="20">
        <f t="shared" si="1"/>
        <v>91.83645576614106</v>
      </c>
    </row>
    <row r="30" spans="1:6" s="41" customFormat="1" ht="15">
      <c r="A30" s="42" t="s">
        <v>45</v>
      </c>
      <c r="B30" s="11">
        <f>SUM(B24)-B25-B26-B27-B28-B29</f>
        <v>642219.915</v>
      </c>
      <c r="C30" s="11">
        <f>SUM(C24)-C25-C26-C27-C28-C29</f>
        <v>352362.6479999999</v>
      </c>
      <c r="D30" s="11">
        <f>SUM(D24)-D25-D26-D27-D28-D29</f>
        <v>343324.85799999995</v>
      </c>
      <c r="E30" s="20">
        <f t="shared" si="0"/>
        <v>53.45907997885738</v>
      </c>
      <c r="F30" s="20">
        <f t="shared" si="1"/>
        <v>97.4350885227767</v>
      </c>
    </row>
    <row r="31" spans="1:6" s="41" customFormat="1" ht="15">
      <c r="A31" s="42" t="s">
        <v>49</v>
      </c>
      <c r="B31" s="11">
        <f>SUM(B32:B33)</f>
        <v>627256.23</v>
      </c>
      <c r="C31" s="11">
        <f>SUM(C32:C33)</f>
        <v>341496.774</v>
      </c>
      <c r="D31" s="11">
        <f>SUM(D32:D33)</f>
        <v>334002.594</v>
      </c>
      <c r="E31" s="20">
        <f>SUM(D31)/B31*100</f>
        <v>53.24819077524347</v>
      </c>
      <c r="F31" s="20">
        <f>SUM(D31)/C31*100</f>
        <v>97.80549025039986</v>
      </c>
    </row>
    <row r="32" spans="1:6" s="41" customFormat="1" ht="30">
      <c r="A32" s="43" t="s">
        <v>70</v>
      </c>
      <c r="B32" s="11">
        <v>393644.2</v>
      </c>
      <c r="C32" s="11">
        <v>268394.986</v>
      </c>
      <c r="D32" s="11">
        <v>268394.888</v>
      </c>
      <c r="E32" s="20">
        <f>SUM(D32)/B32*100</f>
        <v>68.18210150181305</v>
      </c>
      <c r="F32" s="20">
        <f>SUM(D32)/C32*100</f>
        <v>99.99996348665023</v>
      </c>
    </row>
    <row r="33" spans="1:6" s="41" customFormat="1" ht="15">
      <c r="A33" s="43" t="s">
        <v>65</v>
      </c>
      <c r="B33" s="11">
        <v>233612.03</v>
      </c>
      <c r="C33" s="11">
        <v>73101.788</v>
      </c>
      <c r="D33" s="11">
        <v>65607.706</v>
      </c>
      <c r="E33" s="20">
        <f>SUM(D33)/B33*100</f>
        <v>28.084044301999345</v>
      </c>
      <c r="F33" s="20">
        <f>SUM(D33)/C33*100</f>
        <v>89.74842858836777</v>
      </c>
    </row>
    <row r="34" spans="1:6" s="41" customFormat="1" ht="15">
      <c r="A34" s="40" t="s">
        <v>46</v>
      </c>
      <c r="B34" s="25">
        <f>2396.328+708</f>
        <v>3104.328</v>
      </c>
      <c r="C34" s="25">
        <f>2016.328+589.979</f>
        <v>2606.307</v>
      </c>
      <c r="D34" s="25">
        <v>123.105</v>
      </c>
      <c r="E34" s="20">
        <f>SUM(D34)/B34*100</f>
        <v>3.9655925533642065</v>
      </c>
      <c r="F34" s="20">
        <f>SUM(D34)/C34*100</f>
        <v>4.72334993536832</v>
      </c>
    </row>
    <row r="35" spans="1:6" s="41" customFormat="1" ht="15">
      <c r="A35" s="42" t="s">
        <v>69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</row>
    <row r="36" spans="1:6" s="39" customFormat="1" ht="14.25">
      <c r="A36" s="37" t="s">
        <v>66</v>
      </c>
      <c r="B36" s="18">
        <f>B37+B42</f>
        <v>92798.887</v>
      </c>
      <c r="C36" s="18">
        <f>C37+C42</f>
        <v>60186.468</v>
      </c>
      <c r="D36" s="18">
        <f>D37+D42</f>
        <v>50783.68</v>
      </c>
      <c r="E36" s="19">
        <f t="shared" si="0"/>
        <v>54.724449443019715</v>
      </c>
      <c r="F36" s="19">
        <f t="shared" si="1"/>
        <v>84.37723908304437</v>
      </c>
    </row>
    <row r="37" spans="1:6" s="41" customFormat="1" ht="15">
      <c r="A37" s="40" t="s">
        <v>48</v>
      </c>
      <c r="B37" s="25">
        <v>74360</v>
      </c>
      <c r="C37" s="25">
        <v>48758.784</v>
      </c>
      <c r="D37" s="25">
        <f>45352.405+83.999</f>
        <v>45436.404</v>
      </c>
      <c r="E37" s="20">
        <f>SUM(D37)/B37*100</f>
        <v>61.10328671328672</v>
      </c>
      <c r="F37" s="20">
        <f>SUM(D37)/C37*100</f>
        <v>93.18608930034023</v>
      </c>
    </row>
    <row r="38" spans="1:6" s="41" customFormat="1" ht="15">
      <c r="A38" s="42" t="s">
        <v>40</v>
      </c>
      <c r="B38" s="11">
        <v>31364.465</v>
      </c>
      <c r="C38" s="11">
        <v>21454.981</v>
      </c>
      <c r="D38" s="11">
        <v>20458.366</v>
      </c>
      <c r="E38" s="20">
        <f t="shared" si="0"/>
        <v>65.22784941493502</v>
      </c>
      <c r="F38" s="20">
        <f t="shared" si="1"/>
        <v>95.35485489360256</v>
      </c>
    </row>
    <row r="39" spans="1:6" s="41" customFormat="1" ht="15">
      <c r="A39" s="42" t="s">
        <v>41</v>
      </c>
      <c r="B39" s="11">
        <v>11457.301</v>
      </c>
      <c r="C39" s="11">
        <v>7921.986</v>
      </c>
      <c r="D39" s="11">
        <v>7474.64</v>
      </c>
      <c r="E39" s="20">
        <f t="shared" si="0"/>
        <v>65.2390995051976</v>
      </c>
      <c r="F39" s="20">
        <f t="shared" si="1"/>
        <v>94.35310792016043</v>
      </c>
    </row>
    <row r="40" spans="1:6" s="41" customFormat="1" ht="30">
      <c r="A40" s="42" t="s">
        <v>44</v>
      </c>
      <c r="B40" s="11">
        <v>5418.531</v>
      </c>
      <c r="C40" s="11">
        <v>3088.921</v>
      </c>
      <c r="D40" s="11">
        <v>2900.746</v>
      </c>
      <c r="E40" s="20">
        <f t="shared" si="0"/>
        <v>53.5338083329227</v>
      </c>
      <c r="F40" s="20">
        <f t="shared" si="1"/>
        <v>93.90806692693016</v>
      </c>
    </row>
    <row r="41" spans="1:6" s="41" customFormat="1" ht="15">
      <c r="A41" s="42" t="s">
        <v>45</v>
      </c>
      <c r="B41" s="11">
        <f>SUM(B37)-B38-B39-B40</f>
        <v>26119.703000000005</v>
      </c>
      <c r="C41" s="11">
        <f>SUM(C37)-C38-C39-C40</f>
        <v>16292.895999999999</v>
      </c>
      <c r="D41" s="11">
        <f>SUM(D37)-D38-D39-D40</f>
        <v>14602.652000000002</v>
      </c>
      <c r="E41" s="20">
        <f t="shared" si="0"/>
        <v>55.906654068769456</v>
      </c>
      <c r="F41" s="20">
        <f t="shared" si="1"/>
        <v>89.6258835752711</v>
      </c>
    </row>
    <row r="42" spans="1:6" s="41" customFormat="1" ht="15">
      <c r="A42" s="40" t="s">
        <v>46</v>
      </c>
      <c r="B42" s="25">
        <f>9988.887+8450</f>
        <v>18438.887000000002</v>
      </c>
      <c r="C42" s="25">
        <f>8897.684+2530</f>
        <v>11427.684</v>
      </c>
      <c r="D42" s="25">
        <f>4804.425+542.851</f>
        <v>5347.276</v>
      </c>
      <c r="E42" s="20">
        <f t="shared" si="0"/>
        <v>28.99999332931537</v>
      </c>
      <c r="F42" s="20">
        <f t="shared" si="1"/>
        <v>46.79229842197247</v>
      </c>
    </row>
    <row r="43" spans="1:6" s="39" customFormat="1" ht="14.25">
      <c r="A43" s="37" t="s">
        <v>67</v>
      </c>
      <c r="B43" s="18">
        <f>B44+B49</f>
        <v>42852.099</v>
      </c>
      <c r="C43" s="18">
        <f>C44+C49</f>
        <v>30746.824</v>
      </c>
      <c r="D43" s="18">
        <f>D44+D49</f>
        <v>26285.664</v>
      </c>
      <c r="E43" s="19">
        <f t="shared" si="0"/>
        <v>61.34043515581349</v>
      </c>
      <c r="F43" s="19">
        <f t="shared" si="1"/>
        <v>85.49066401134634</v>
      </c>
    </row>
    <row r="44" spans="1:6" s="41" customFormat="1" ht="15">
      <c r="A44" s="40" t="s">
        <v>48</v>
      </c>
      <c r="B44" s="25">
        <v>37236.422</v>
      </c>
      <c r="C44" s="25">
        <v>25131.147</v>
      </c>
      <c r="D44" s="25">
        <f>24243.357+0.982</f>
        <v>24244.339</v>
      </c>
      <c r="E44" s="20">
        <f>SUM(D44)/B44*100</f>
        <v>65.10920678683897</v>
      </c>
      <c r="F44" s="20">
        <f>SUM(D44)/C44*100</f>
        <v>96.47127924563092</v>
      </c>
    </row>
    <row r="45" spans="1:6" s="41" customFormat="1" ht="15">
      <c r="A45" s="42" t="s">
        <v>40</v>
      </c>
      <c r="B45" s="11">
        <v>18627.014</v>
      </c>
      <c r="C45" s="11">
        <v>12475.151</v>
      </c>
      <c r="D45" s="11">
        <v>12371.359</v>
      </c>
      <c r="E45" s="20">
        <f t="shared" si="0"/>
        <v>66.41622215992322</v>
      </c>
      <c r="F45" s="20">
        <f t="shared" si="1"/>
        <v>99.16801007057951</v>
      </c>
    </row>
    <row r="46" spans="1:6" s="41" customFormat="1" ht="15">
      <c r="A46" s="42" t="s">
        <v>41</v>
      </c>
      <c r="B46" s="11">
        <v>6684.876</v>
      </c>
      <c r="C46" s="11">
        <v>4481.835</v>
      </c>
      <c r="D46" s="11">
        <v>4456.121</v>
      </c>
      <c r="E46" s="20">
        <f t="shared" si="0"/>
        <v>66.65974058456732</v>
      </c>
      <c r="F46" s="20">
        <f t="shared" si="1"/>
        <v>99.42626178786145</v>
      </c>
    </row>
    <row r="47" spans="1:6" s="41" customFormat="1" ht="30">
      <c r="A47" s="42" t="s">
        <v>44</v>
      </c>
      <c r="B47" s="11">
        <v>3323.7</v>
      </c>
      <c r="C47" s="11">
        <v>1911.836</v>
      </c>
      <c r="D47" s="11">
        <v>1655.505</v>
      </c>
      <c r="E47" s="20">
        <f t="shared" si="0"/>
        <v>49.80909829406987</v>
      </c>
      <c r="F47" s="20">
        <f t="shared" si="1"/>
        <v>86.59241692279045</v>
      </c>
    </row>
    <row r="48" spans="1:6" s="41" customFormat="1" ht="15">
      <c r="A48" s="42" t="s">
        <v>45</v>
      </c>
      <c r="B48" s="11">
        <f>SUM(B44)-B45-B46-B47</f>
        <v>8600.831999999999</v>
      </c>
      <c r="C48" s="11">
        <f>SUM(C44)-C45-C46-C47</f>
        <v>6262.325000000001</v>
      </c>
      <c r="D48" s="11">
        <f>SUM(D44)-D45-D46-D47</f>
        <v>5761.353999999999</v>
      </c>
      <c r="E48" s="20">
        <f t="shared" si="0"/>
        <v>66.98600786528559</v>
      </c>
      <c r="F48" s="20">
        <f t="shared" si="1"/>
        <v>92.00023952765144</v>
      </c>
    </row>
    <row r="49" spans="1:6" s="41" customFormat="1" ht="15">
      <c r="A49" s="40" t="s">
        <v>46</v>
      </c>
      <c r="B49" s="25">
        <f>3008.9+2606.777</f>
        <v>5615.677</v>
      </c>
      <c r="C49" s="25">
        <f>2606.777+3008.9</f>
        <v>5615.677</v>
      </c>
      <c r="D49" s="25">
        <v>2041.325</v>
      </c>
      <c r="E49" s="20">
        <f t="shared" si="0"/>
        <v>36.35047029948482</v>
      </c>
      <c r="F49" s="20">
        <f t="shared" si="1"/>
        <v>36.35047029948482</v>
      </c>
    </row>
    <row r="50" spans="1:6" s="41" customFormat="1" ht="14.25">
      <c r="A50" s="37" t="s">
        <v>50</v>
      </c>
      <c r="B50" s="18">
        <f>B51+B56</f>
        <v>76006.65000000001</v>
      </c>
      <c r="C50" s="18">
        <f>C51+C56</f>
        <v>52583.576</v>
      </c>
      <c r="D50" s="18">
        <f>D51+D56</f>
        <v>47860.303</v>
      </c>
      <c r="E50" s="19">
        <f t="shared" si="0"/>
        <v>62.968573144586685</v>
      </c>
      <c r="F50" s="19">
        <f t="shared" si="1"/>
        <v>91.01758883800524</v>
      </c>
    </row>
    <row r="51" spans="1:6" s="41" customFormat="1" ht="15">
      <c r="A51" s="40" t="s">
        <v>48</v>
      </c>
      <c r="B51" s="25">
        <v>71612.02</v>
      </c>
      <c r="C51" s="25">
        <v>48288.946</v>
      </c>
      <c r="D51" s="25">
        <v>45584.201</v>
      </c>
      <c r="E51" s="20">
        <f>SUM(D51)/B51*100</f>
        <v>63.65439907993099</v>
      </c>
      <c r="F51" s="20">
        <f>SUM(D51)/C51*100</f>
        <v>94.3988319811329</v>
      </c>
    </row>
    <row r="52" spans="1:6" s="41" customFormat="1" ht="15">
      <c r="A52" s="42" t="s">
        <v>40</v>
      </c>
      <c r="B52" s="11">
        <v>39280.644</v>
      </c>
      <c r="C52" s="11">
        <v>26446.51</v>
      </c>
      <c r="D52" s="11">
        <v>25900.228</v>
      </c>
      <c r="E52" s="20">
        <f t="shared" si="0"/>
        <v>65.93636295779672</v>
      </c>
      <c r="F52" s="20">
        <f t="shared" si="1"/>
        <v>97.9343890743996</v>
      </c>
    </row>
    <row r="53" spans="1:6" s="41" customFormat="1" ht="15">
      <c r="A53" s="42" t="s">
        <v>41</v>
      </c>
      <c r="B53" s="11">
        <v>14184.781</v>
      </c>
      <c r="C53" s="11">
        <v>9563.045</v>
      </c>
      <c r="D53" s="11">
        <v>9377.99</v>
      </c>
      <c r="E53" s="20">
        <f t="shared" si="0"/>
        <v>66.11304044806894</v>
      </c>
      <c r="F53" s="20">
        <f t="shared" si="1"/>
        <v>98.06489460208542</v>
      </c>
    </row>
    <row r="54" spans="1:6" s="41" customFormat="1" ht="30">
      <c r="A54" s="42" t="s">
        <v>44</v>
      </c>
      <c r="B54" s="11">
        <v>4114.146</v>
      </c>
      <c r="C54" s="11">
        <v>2508.45</v>
      </c>
      <c r="D54" s="11">
        <v>2313.483</v>
      </c>
      <c r="E54" s="20">
        <f t="shared" si="0"/>
        <v>56.232399141887534</v>
      </c>
      <c r="F54" s="20">
        <f t="shared" si="1"/>
        <v>92.2275907432877</v>
      </c>
    </row>
    <row r="55" spans="1:6" s="41" customFormat="1" ht="15">
      <c r="A55" s="42" t="s">
        <v>45</v>
      </c>
      <c r="B55" s="11">
        <f>SUM(B51)-B52-B53-B54</f>
        <v>14032.449</v>
      </c>
      <c r="C55" s="11">
        <f>SUM(C51)-C52-C53-C54</f>
        <v>9770.941000000006</v>
      </c>
      <c r="D55" s="11">
        <f>SUM(D51)-D52-D53-D54</f>
        <v>7992.500000000002</v>
      </c>
      <c r="E55" s="20">
        <f t="shared" si="0"/>
        <v>56.957270965317605</v>
      </c>
      <c r="F55" s="20">
        <f t="shared" si="1"/>
        <v>81.79867220567596</v>
      </c>
    </row>
    <row r="56" spans="1:6" s="41" customFormat="1" ht="15">
      <c r="A56" s="40" t="s">
        <v>46</v>
      </c>
      <c r="B56" s="25">
        <f>200+4194.63</f>
        <v>4394.63</v>
      </c>
      <c r="C56" s="25">
        <f>200+4094.63</f>
        <v>4294.63</v>
      </c>
      <c r="D56" s="25">
        <v>2276.102</v>
      </c>
      <c r="E56" s="20">
        <f t="shared" si="0"/>
        <v>51.79280166931004</v>
      </c>
      <c r="F56" s="20">
        <f t="shared" si="1"/>
        <v>52.998791514053586</v>
      </c>
    </row>
    <row r="57" spans="1:6" s="41" customFormat="1" ht="28.5">
      <c r="A57" s="21" t="s">
        <v>51</v>
      </c>
      <c r="B57" s="22">
        <f>B58+B63</f>
        <v>292732.544</v>
      </c>
      <c r="C57" s="22">
        <f>C58+C63</f>
        <v>203968.11099999998</v>
      </c>
      <c r="D57" s="22">
        <f>D58+D63</f>
        <v>119590.786</v>
      </c>
      <c r="E57" s="19">
        <f t="shared" si="0"/>
        <v>40.85325955422298</v>
      </c>
      <c r="F57" s="19">
        <f t="shared" si="1"/>
        <v>58.63209960306002</v>
      </c>
    </row>
    <row r="58" spans="1:6" s="41" customFormat="1" ht="15">
      <c r="A58" s="40" t="s">
        <v>48</v>
      </c>
      <c r="B58" s="25">
        <f>153051.148+35861.8</f>
        <v>188912.94799999997</v>
      </c>
      <c r="C58" s="25">
        <f>102266.821+13216.9</f>
        <v>115483.72099999999</v>
      </c>
      <c r="D58" s="25">
        <f>87525.465+111.386+10791.202</f>
        <v>98428.053</v>
      </c>
      <c r="E58" s="20">
        <f>SUM(D58)/B58*100</f>
        <v>52.102332869211274</v>
      </c>
      <c r="F58" s="20">
        <f>SUM(D58)/C58*100</f>
        <v>85.23110629592547</v>
      </c>
    </row>
    <row r="59" spans="1:6" s="41" customFormat="1" ht="15">
      <c r="A59" s="42" t="s">
        <v>40</v>
      </c>
      <c r="B59" s="11">
        <v>423.637</v>
      </c>
      <c r="C59" s="11">
        <v>293.57</v>
      </c>
      <c r="D59" s="11">
        <v>238.816</v>
      </c>
      <c r="E59" s="20">
        <f t="shared" si="0"/>
        <v>56.37279085632275</v>
      </c>
      <c r="F59" s="20">
        <f t="shared" si="1"/>
        <v>81.34891167353612</v>
      </c>
    </row>
    <row r="60" spans="1:6" s="41" customFormat="1" ht="15">
      <c r="A60" s="42" t="s">
        <v>41</v>
      </c>
      <c r="B60" s="11">
        <v>153.961</v>
      </c>
      <c r="C60" s="11">
        <v>106.405</v>
      </c>
      <c r="D60" s="11">
        <v>84.213</v>
      </c>
      <c r="E60" s="20">
        <f t="shared" si="0"/>
        <v>54.69761822799279</v>
      </c>
      <c r="F60" s="20">
        <f t="shared" si="1"/>
        <v>79.14383722569428</v>
      </c>
    </row>
    <row r="61" spans="1:6" s="41" customFormat="1" ht="30">
      <c r="A61" s="42" t="s">
        <v>44</v>
      </c>
      <c r="B61" s="11">
        <v>15891.008</v>
      </c>
      <c r="C61" s="11">
        <v>9117.808</v>
      </c>
      <c r="D61" s="11">
        <f>8921.301+62.521</f>
        <v>8983.822</v>
      </c>
      <c r="E61" s="20">
        <f t="shared" si="0"/>
        <v>56.533997088164575</v>
      </c>
      <c r="F61" s="20">
        <f t="shared" si="1"/>
        <v>98.5305020680409</v>
      </c>
    </row>
    <row r="62" spans="1:6" s="41" customFormat="1" ht="15">
      <c r="A62" s="42" t="s">
        <v>45</v>
      </c>
      <c r="B62" s="11">
        <f>SUM(B58)-B59-B60-B61</f>
        <v>172444.34199999998</v>
      </c>
      <c r="C62" s="11">
        <f>SUM(C58)-C59-C60-C61</f>
        <v>105965.93799999998</v>
      </c>
      <c r="D62" s="11">
        <f>SUM(D58)-D59-D60-D61</f>
        <v>89121.20199999999</v>
      </c>
      <c r="E62" s="20">
        <f t="shared" si="0"/>
        <v>51.681140109543286</v>
      </c>
      <c r="F62" s="20">
        <f t="shared" si="1"/>
        <v>84.10363148958301</v>
      </c>
    </row>
    <row r="63" spans="1:6" s="41" customFormat="1" ht="15">
      <c r="A63" s="40" t="s">
        <v>46</v>
      </c>
      <c r="B63" s="25">
        <f>24767.4+79052.196</f>
        <v>103819.59599999999</v>
      </c>
      <c r="C63" s="25">
        <f>64436.99+24047.4</f>
        <v>88484.39</v>
      </c>
      <c r="D63" s="25">
        <v>21162.733</v>
      </c>
      <c r="E63" s="20">
        <f t="shared" si="0"/>
        <v>20.384141159632332</v>
      </c>
      <c r="F63" s="20">
        <f t="shared" si="1"/>
        <v>23.91691122015985</v>
      </c>
    </row>
    <row r="64" spans="1:6" s="41" customFormat="1" ht="15">
      <c r="A64" s="21" t="s">
        <v>52</v>
      </c>
      <c r="B64" s="22">
        <f>SUM(B65)</f>
        <v>90093.974</v>
      </c>
      <c r="C64" s="22">
        <f>SUM(C65)</f>
        <v>61367.407</v>
      </c>
      <c r="D64" s="22">
        <f>SUM(D65)</f>
        <v>14713.365</v>
      </c>
      <c r="E64" s="19">
        <f t="shared" si="0"/>
        <v>16.331131092075037</v>
      </c>
      <c r="F64" s="19">
        <f t="shared" si="1"/>
        <v>23.975862300976804</v>
      </c>
    </row>
    <row r="65" spans="1:6" s="41" customFormat="1" ht="15">
      <c r="A65" s="40" t="s">
        <v>46</v>
      </c>
      <c r="B65" s="25">
        <f>27312.872+62781.102</f>
        <v>90093.974</v>
      </c>
      <c r="C65" s="25">
        <f>12552.814+48814.593</f>
        <v>61367.407</v>
      </c>
      <c r="D65" s="25">
        <v>14713.365</v>
      </c>
      <c r="E65" s="20">
        <f t="shared" si="0"/>
        <v>16.331131092075037</v>
      </c>
      <c r="F65" s="20">
        <f t="shared" si="1"/>
        <v>23.975862300976804</v>
      </c>
    </row>
    <row r="66" spans="1:6" s="41" customFormat="1" ht="15">
      <c r="A66" s="44" t="s">
        <v>53</v>
      </c>
      <c r="B66" s="22">
        <f>SUM(B67:B68)</f>
        <v>137091.726</v>
      </c>
      <c r="C66" s="22">
        <f>SUM(C67:C68)</f>
        <v>112947.146</v>
      </c>
      <c r="D66" s="22">
        <f>SUM(D67:D68)</f>
        <v>87532.897</v>
      </c>
      <c r="E66" s="19">
        <f t="shared" si="0"/>
        <v>63.849875958232516</v>
      </c>
      <c r="F66" s="19">
        <f t="shared" si="1"/>
        <v>77.49898966017255</v>
      </c>
    </row>
    <row r="67" spans="1:6" s="41" customFormat="1" ht="15">
      <c r="A67" s="40" t="s">
        <v>45</v>
      </c>
      <c r="B67" s="25">
        <v>57202.187</v>
      </c>
      <c r="C67" s="25">
        <v>46475.022</v>
      </c>
      <c r="D67" s="25">
        <v>42093.495</v>
      </c>
      <c r="E67" s="20">
        <f t="shared" si="0"/>
        <v>73.58721267073234</v>
      </c>
      <c r="F67" s="20">
        <f t="shared" si="1"/>
        <v>90.57229709326442</v>
      </c>
    </row>
    <row r="68" spans="1:6" s="41" customFormat="1" ht="15">
      <c r="A68" s="40" t="s">
        <v>46</v>
      </c>
      <c r="B68" s="25">
        <f>33337.668+46551.871</f>
        <v>79889.53899999999</v>
      </c>
      <c r="C68" s="25">
        <f>38866.456+27605.668</f>
        <v>66472.124</v>
      </c>
      <c r="D68" s="25">
        <v>45439.402</v>
      </c>
      <c r="E68" s="20">
        <f t="shared" si="0"/>
        <v>56.87778721567038</v>
      </c>
      <c r="F68" s="20">
        <f t="shared" si="1"/>
        <v>68.35858291514802</v>
      </c>
    </row>
    <row r="69" spans="1:6" s="41" customFormat="1" ht="57">
      <c r="A69" s="45" t="s">
        <v>54</v>
      </c>
      <c r="B69" s="22">
        <f>SUM(B70:B70)</f>
        <v>45970</v>
      </c>
      <c r="C69" s="22">
        <f>SUM(C70:C70)</f>
        <v>34370</v>
      </c>
      <c r="D69" s="22">
        <f>SUM(D70:D70)</f>
        <v>22812.4</v>
      </c>
      <c r="E69" s="19">
        <f t="shared" si="0"/>
        <v>49.62453774200566</v>
      </c>
      <c r="F69" s="19">
        <f t="shared" si="1"/>
        <v>66.3729997090486</v>
      </c>
    </row>
    <row r="70" spans="1:6" s="41" customFormat="1" ht="15">
      <c r="A70" s="40" t="s">
        <v>46</v>
      </c>
      <c r="B70" s="25">
        <f>33100+12870</f>
        <v>45970</v>
      </c>
      <c r="C70" s="25">
        <f>21500+12870</f>
        <v>34370</v>
      </c>
      <c r="D70" s="25">
        <v>22812.4</v>
      </c>
      <c r="E70" s="20">
        <f t="shared" si="0"/>
        <v>49.62453774200566</v>
      </c>
      <c r="F70" s="20">
        <f t="shared" si="1"/>
        <v>66.3729997090486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5549.722</v>
      </c>
      <c r="D71" s="18">
        <f>SUM(D72)+D75</f>
        <v>2911.152</v>
      </c>
      <c r="E71" s="19">
        <f t="shared" si="0"/>
        <v>42.756355838853224</v>
      </c>
      <c r="F71" s="19">
        <f t="shared" si="1"/>
        <v>52.45581670577374</v>
      </c>
    </row>
    <row r="72" spans="1:6" s="41" customFormat="1" ht="15">
      <c r="A72" s="40" t="s">
        <v>48</v>
      </c>
      <c r="B72" s="25">
        <v>5036.657</v>
      </c>
      <c r="C72" s="25">
        <v>3777.679</v>
      </c>
      <c r="D72" s="25">
        <v>2911.152</v>
      </c>
      <c r="E72" s="20">
        <f>SUM(D72)/B72*100</f>
        <v>57.799290283217616</v>
      </c>
      <c r="F72" s="20">
        <f>SUM(D72)/C72*100</f>
        <v>77.06192082492981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SUM(B71)-B73</f>
        <v>6802.628000000001</v>
      </c>
      <c r="C74" s="11">
        <f>SUM(C71)-C73</f>
        <v>5545.05</v>
      </c>
      <c r="D74" s="11">
        <f>SUM(D71)-D73</f>
        <v>2909.6620000000003</v>
      </c>
      <c r="E74" s="20">
        <f aca="true" t="shared" si="2" ref="E74:E93">SUM(D74)/B74*100</f>
        <v>42.772616700486935</v>
      </c>
      <c r="F74" s="20">
        <f aca="true" t="shared" si="3" ref="F74:F92">SUM(D74)/C74*100</f>
        <v>52.473142712870036</v>
      </c>
    </row>
    <row r="75" spans="1:6" s="41" customFormat="1" ht="15">
      <c r="A75" s="40" t="s">
        <v>46</v>
      </c>
      <c r="B75" s="25">
        <f>1700+72.043</f>
        <v>1772.0430000000001</v>
      </c>
      <c r="C75" s="25">
        <v>1772.043</v>
      </c>
      <c r="D75" s="25"/>
      <c r="E75" s="20">
        <f t="shared" si="2"/>
        <v>0</v>
      </c>
      <c r="F75" s="20">
        <f t="shared" si="3"/>
        <v>0</v>
      </c>
    </row>
    <row r="76" spans="1:6" s="41" customFormat="1" ht="15">
      <c r="A76" s="44" t="s">
        <v>56</v>
      </c>
      <c r="B76" s="25">
        <v>2500</v>
      </c>
      <c r="C76" s="25">
        <v>200</v>
      </c>
      <c r="D76" s="25"/>
      <c r="E76" s="19">
        <f t="shared" si="2"/>
        <v>0</v>
      </c>
      <c r="F76" s="19"/>
    </row>
    <row r="77" spans="1:6" s="41" customFormat="1" ht="15">
      <c r="A77" s="44" t="s">
        <v>57</v>
      </c>
      <c r="B77" s="25">
        <v>18418.4</v>
      </c>
      <c r="C77" s="25">
        <v>12279.2</v>
      </c>
      <c r="D77" s="25">
        <v>12279.2</v>
      </c>
      <c r="E77" s="19">
        <f t="shared" si="2"/>
        <v>66.66811449420145</v>
      </c>
      <c r="F77" s="19">
        <f t="shared" si="3"/>
        <v>100</v>
      </c>
    </row>
    <row r="78" spans="1:6" s="39" customFormat="1" ht="14.25">
      <c r="A78" s="37" t="s">
        <v>58</v>
      </c>
      <c r="B78" s="18">
        <f>SUM(B79)+B83</f>
        <v>7700.507</v>
      </c>
      <c r="C78" s="18">
        <f>SUM(C79)+C83</f>
        <v>6627.45</v>
      </c>
      <c r="D78" s="18">
        <f>SUM(D79)+D83</f>
        <v>3750.55</v>
      </c>
      <c r="E78" s="19">
        <f t="shared" si="2"/>
        <v>48.705234603383914</v>
      </c>
      <c r="F78" s="19">
        <f t="shared" si="3"/>
        <v>56.59114742472595</v>
      </c>
    </row>
    <row r="79" spans="1:6" s="39" customFormat="1" ht="15">
      <c r="A79" s="40" t="s">
        <v>48</v>
      </c>
      <c r="B79" s="25">
        <f>3863.4+118.99</f>
        <v>3982.39</v>
      </c>
      <c r="C79" s="25">
        <f>2650.631+258.702</f>
        <v>2909.3329999999996</v>
      </c>
      <c r="D79" s="25">
        <f>1892.628+2.563-350.816+717.4+18.332</f>
        <v>2280.107</v>
      </c>
      <c r="E79" s="20">
        <f>SUM(D79)/B79*100</f>
        <v>57.25473898839641</v>
      </c>
      <c r="F79" s="20">
        <f>SUM(D79)/C79*100</f>
        <v>78.37215609213521</v>
      </c>
    </row>
    <row r="80" spans="1:6" s="41" customFormat="1" ht="15">
      <c r="A80" s="42" t="s">
        <v>40</v>
      </c>
      <c r="B80" s="11">
        <v>98.3</v>
      </c>
      <c r="C80" s="11">
        <v>98.3</v>
      </c>
      <c r="D80" s="11">
        <v>77.317</v>
      </c>
      <c r="E80" s="20">
        <f t="shared" si="2"/>
        <v>78.65412004069175</v>
      </c>
      <c r="F80" s="20">
        <f t="shared" si="3"/>
        <v>78.65412004069175</v>
      </c>
    </row>
    <row r="81" spans="1:6" s="41" customFormat="1" ht="15">
      <c r="A81" s="42" t="s">
        <v>41</v>
      </c>
      <c r="B81" s="11">
        <v>33.7</v>
      </c>
      <c r="C81" s="11">
        <v>33.7</v>
      </c>
      <c r="D81" s="11">
        <v>26.829</v>
      </c>
      <c r="E81" s="20">
        <f t="shared" si="2"/>
        <v>79.61127596439168</v>
      </c>
      <c r="F81" s="20">
        <f t="shared" si="3"/>
        <v>79.61127596439168</v>
      </c>
    </row>
    <row r="82" spans="1:6" s="41" customFormat="1" ht="15">
      <c r="A82" s="42" t="s">
        <v>45</v>
      </c>
      <c r="B82" s="11">
        <f>SUM(B79)-B80-B81</f>
        <v>3850.39</v>
      </c>
      <c r="C82" s="11">
        <f>SUM(C79)-C80-C81</f>
        <v>2777.3329999999996</v>
      </c>
      <c r="D82" s="11">
        <f>SUM(D79)-D80-D81</f>
        <v>2175.961</v>
      </c>
      <c r="E82" s="20">
        <f t="shared" si="2"/>
        <v>56.512742865008484</v>
      </c>
      <c r="F82" s="20">
        <f t="shared" si="3"/>
        <v>78.347140944208</v>
      </c>
    </row>
    <row r="83" spans="1:6" s="41" customFormat="1" ht="15">
      <c r="A83" s="40" t="s">
        <v>46</v>
      </c>
      <c r="B83" s="25">
        <f>2400.117+1318</f>
        <v>3718.117</v>
      </c>
      <c r="C83" s="25">
        <f>2400.117+1318</f>
        <v>3718.117</v>
      </c>
      <c r="D83" s="25">
        <f>142.214+1328.229</f>
        <v>1470.443</v>
      </c>
      <c r="E83" s="20">
        <f t="shared" si="2"/>
        <v>39.54805618005028</v>
      </c>
      <c r="F83" s="20">
        <f t="shared" si="3"/>
        <v>39.54805618005028</v>
      </c>
    </row>
    <row r="84" spans="1:6" s="41" customFormat="1" ht="40.5">
      <c r="A84" s="46" t="s">
        <v>59</v>
      </c>
      <c r="B84" s="18">
        <f>2005.5+11186.092</f>
        <v>13191.592</v>
      </c>
      <c r="C84" s="18">
        <f>2005.5+11186.092</f>
        <v>13191.592</v>
      </c>
      <c r="D84" s="18">
        <f>11186.092+1705.5</f>
        <v>12891.592</v>
      </c>
      <c r="E84" s="19">
        <f t="shared" si="2"/>
        <v>97.72582414616826</v>
      </c>
      <c r="F84" s="19">
        <f t="shared" si="3"/>
        <v>97.72582414616826</v>
      </c>
    </row>
    <row r="85" spans="1:13" s="50" customFormat="1" ht="15.75">
      <c r="A85" s="47" t="s">
        <v>60</v>
      </c>
      <c r="B85" s="28">
        <f>B5+B14+B23+B36+B43+B50+B57+B64+B66+B69+B71+B76+B77+B78+B84</f>
        <v>2405643.8750000005</v>
      </c>
      <c r="C85" s="28">
        <f>C5+C14+C23+C36+C43+C50+C57+C64+C66+C69+C71+C76+C77+C78+C84</f>
        <v>1582363.1579999996</v>
      </c>
      <c r="D85" s="28">
        <f>D5+D14+D23+D36+D43+D50+D57+D64+D66+D69+D71+D76+D77+D78+D84</f>
        <v>1327482.469</v>
      </c>
      <c r="E85" s="19">
        <f t="shared" si="2"/>
        <v>55.182002739287405</v>
      </c>
      <c r="F85" s="19">
        <f t="shared" si="3"/>
        <v>83.8924024670701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1980170.1579999998</v>
      </c>
      <c r="C86" s="28">
        <f>C6+C15+C24+C37+C44+C51+C58+C67+C72+C79+C77</f>
        <v>1248431.706</v>
      </c>
      <c r="D86" s="28">
        <f>D6+D15+D24+D37+D44+D51+D58+D67+D72+D79+D77</f>
        <v>1178351.51</v>
      </c>
      <c r="E86" s="19">
        <f>SUM(D86)/B86*100</f>
        <v>59.507588539267346</v>
      </c>
      <c r="F86" s="19">
        <f>SUM(D86)/C86*100</f>
        <v>94.38654147734373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517453.21</v>
      </c>
      <c r="C87" s="22">
        <f t="shared" si="4"/>
        <v>357395.05600000004</v>
      </c>
      <c r="D87" s="22">
        <f t="shared" si="4"/>
        <v>348982.15699999995</v>
      </c>
      <c r="E87" s="19">
        <f t="shared" si="2"/>
        <v>67.44226342706425</v>
      </c>
      <c r="F87" s="19">
        <f t="shared" si="3"/>
        <v>97.64605053741984</v>
      </c>
    </row>
    <row r="88" spans="1:6" ht="15">
      <c r="A88" s="51" t="s">
        <v>41</v>
      </c>
      <c r="B88" s="22">
        <f t="shared" si="4"/>
        <v>187681.641</v>
      </c>
      <c r="C88" s="22">
        <f t="shared" si="4"/>
        <v>129062.516</v>
      </c>
      <c r="D88" s="22">
        <f t="shared" si="4"/>
        <v>126488.12500000001</v>
      </c>
      <c r="E88" s="19">
        <f t="shared" si="2"/>
        <v>67.39504424942662</v>
      </c>
      <c r="F88" s="19">
        <f t="shared" si="3"/>
        <v>98.00531472670191</v>
      </c>
    </row>
    <row r="89" spans="1:6" ht="15">
      <c r="A89" s="51" t="s">
        <v>61</v>
      </c>
      <c r="B89" s="22">
        <f>B73+B11+B20+B29+B40+B47+B54+B61</f>
        <v>138079.631</v>
      </c>
      <c r="C89" s="22">
        <f>C73+C11+C20+C29+C40+C47+C54+C61</f>
        <v>80189.51</v>
      </c>
      <c r="D89" s="22">
        <f>D73+D11+D20+D29+D40+D47+D54+D61</f>
        <v>70353.755</v>
      </c>
      <c r="E89" s="19">
        <f t="shared" si="2"/>
        <v>50.951580975763186</v>
      </c>
      <c r="F89" s="19">
        <f t="shared" si="3"/>
        <v>87.73436201318603</v>
      </c>
    </row>
    <row r="90" spans="1:6" ht="15">
      <c r="A90" s="51" t="s">
        <v>45</v>
      </c>
      <c r="B90" s="22">
        <f>B86-B87-B88-B89</f>
        <v>1136955.6759999997</v>
      </c>
      <c r="C90" s="22">
        <f>C86-C87-C88-C89</f>
        <v>681784.6239999998</v>
      </c>
      <c r="D90" s="22">
        <f>D86-D87-D88-D89</f>
        <v>632527.4730000001</v>
      </c>
      <c r="E90" s="19">
        <f t="shared" si="2"/>
        <v>55.63343289030735</v>
      </c>
      <c r="F90" s="19">
        <f t="shared" si="3"/>
        <v>92.77526226522824</v>
      </c>
    </row>
    <row r="91" spans="1:6" ht="15">
      <c r="A91" s="37" t="s">
        <v>46</v>
      </c>
      <c r="B91" s="18">
        <f>B13+B22+B42+B34+B56+B63+B65+B68+B70+B75+B83+B49</f>
        <v>409782.12500000006</v>
      </c>
      <c r="C91" s="18">
        <f>C13+C22+C42+C34+C56+C63+C65+C68+C70+C75+C83+C49</f>
        <v>320539.86000000004</v>
      </c>
      <c r="D91" s="18">
        <f>D13+D22+D42+D34+D56+D63+D65+D68+D70+D75+D83+D49</f>
        <v>136239.367</v>
      </c>
      <c r="E91" s="19">
        <f t="shared" si="2"/>
        <v>33.246781323123834</v>
      </c>
      <c r="F91" s="19">
        <f t="shared" si="3"/>
        <v>42.50309680674347</v>
      </c>
    </row>
    <row r="92" spans="1:6" ht="15">
      <c r="A92" s="37" t="s">
        <v>62</v>
      </c>
      <c r="B92" s="18">
        <f>SUM(B84)</f>
        <v>13191.592</v>
      </c>
      <c r="C92" s="18">
        <f>SUM(C84)</f>
        <v>13191.592</v>
      </c>
      <c r="D92" s="18">
        <f>SUM(D84)</f>
        <v>12891.592</v>
      </c>
      <c r="E92" s="19">
        <f t="shared" si="2"/>
        <v>97.72582414616826</v>
      </c>
      <c r="F92" s="19">
        <f t="shared" si="3"/>
        <v>97.72582414616826</v>
      </c>
    </row>
    <row r="93" spans="1:6" ht="28.5">
      <c r="A93" s="37" t="s">
        <v>63</v>
      </c>
      <c r="B93" s="18">
        <f>SUM(B76)</f>
        <v>2500</v>
      </c>
      <c r="C93" s="18">
        <f>SUM(C76)</f>
        <v>200</v>
      </c>
      <c r="D93" s="18"/>
      <c r="E93" s="19">
        <f t="shared" si="2"/>
        <v>0</v>
      </c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2015-08-25T12:16:23Z</cp:lastPrinted>
  <dcterms:created xsi:type="dcterms:W3CDTF">2015-04-07T07:35:57Z</dcterms:created>
  <dcterms:modified xsi:type="dcterms:W3CDTF">2015-09-01T08:13:28Z</dcterms:modified>
  <cp:category/>
  <cp:version/>
  <cp:contentType/>
  <cp:contentStatus/>
</cp:coreProperties>
</file>