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'укр'!$A$5:$M$93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<sst xmlns="http://schemas.openxmlformats.org/spreadsheetml/2006/main" count="190" uniqueCount="77">
  <si>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</si>
  <si>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</si>
  <si>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</si>
  <si>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</si>
  <si>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</si>
  <si>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</si>
  <si>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</si>
  <si>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</si>
  <si>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</si>
  <si>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</si>
  <si>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</si>
  <si>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</si>
  <si>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</si>
  <si>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</si>
  <si>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</si>
  <si>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</si>
  <si>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</si>
  <si>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</si>
  <si>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</si>
  <si>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</si>
  <si>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</si>
  <si>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</si>
  <si>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</si>
  <si>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</si>
  <si>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</si>
  <si>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</si>
  <si>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</si>
  <si>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</si>
  <si>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</si>
  <si>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</si>
  <si>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</si>
  <si>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</si>
  <si>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</si>
  <si>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</si>
  <si>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</si>
  <si>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</si>
  <si>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</si>
  <si>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</si>
  <si>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</si>
  <si>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</si>
  <si>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</si>
  <si>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</si>
  <si>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</si>
  <si>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</si>
  <si>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</si>
  <si>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</si>
  <si>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</si>
  <si>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</si>
  <si>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</si>
  <si>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</si>
  <si>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</si>
  <si>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</si>
  <si>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</si>
  <si>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</si>
  <si>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</si>
  <si>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</si>
  <si>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</si>
  <si>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</si>
  <si>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</si>
  <si>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</si>
  <si>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</si>
  <si>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</si>
  <si>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</si>
  <si>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</si>
  <si>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</si>
  <si>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</si>
  <si>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</si>
  <si>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</si>
  <si>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</si>
  <si>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</si>
  <si>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</si>
  <si>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</si>
  <si>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</si>
  <si>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План на січень-вересень з урахуванням змін, тис. грн.</t>
  </si>
  <si>
    <t xml:space="preserve">План на январь-сентябрь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</si>
  <si>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9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</si>
  <si>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9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</si>
</sst>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72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73</v>
      </c>
      <c r="D3" s="77" t="s">
        <v>75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595828.484</v>
      </c>
      <c r="C5" s="18">
        <f>C6+C13</f>
        <v>484387.749</v>
      </c>
      <c r="D5" s="18">
        <f>D6+D13</f>
        <v>417924.603</v>
      </c>
      <c r="E5" s="19">
        <f>SUM(D5)/B5*100</f>
        <v>70.14176297754841</v>
      </c>
      <c r="F5" s="19">
        <f>SUM(D5)/C5*100</f>
        <v>86.27893745512544</v>
      </c>
      <c r="G5" s="65"/>
    </row>
    <row r="6" spans="1:7" s="14" customFormat="1" ht="16.5" customHeight="1">
      <c r="A6" s="30" t="s">
        <v>34</v>
      </c>
      <c r="B6" s="55">
        <v>562310.395</v>
      </c>
      <c r="C6" s="25">
        <v>453656.199</v>
      </c>
      <c r="D6" s="25">
        <f>397443.031+1.108</f>
        <v>397444.139</v>
      </c>
      <c r="E6" s="20">
        <f>SUM(D6)/B6*100</f>
        <v>70.6805605114236</v>
      </c>
      <c r="F6" s="20">
        <f>SUM(D6)/C6*100</f>
        <v>87.6091057228119</v>
      </c>
      <c r="G6" s="66"/>
    </row>
    <row r="7" spans="1:7" s="3" customFormat="1" ht="14.25" customHeight="1">
      <c r="A7" s="12" t="s">
        <v>1</v>
      </c>
      <c r="B7" s="11">
        <f>312527.163</f>
        <v>312527.163</v>
      </c>
      <c r="C7" s="11">
        <v>257573.157</v>
      </c>
      <c r="D7" s="11">
        <v>234812.154</v>
      </c>
      <c r="E7" s="20">
        <f aca="true" t="shared" si="0" ref="E7:E73">SUM(D7)/B7*100</f>
        <v>75.13335856825988</v>
      </c>
      <c r="F7" s="20">
        <f aca="true" t="shared" si="1" ref="F7:F73">SUM(D7)/C7*100</f>
        <v>91.16328608729985</v>
      </c>
      <c r="G7" s="66"/>
    </row>
    <row r="8" spans="1:7" s="3" customFormat="1" ht="15">
      <c r="A8" s="12" t="s">
        <v>29</v>
      </c>
      <c r="B8" s="11">
        <v>113569.19</v>
      </c>
      <c r="C8" s="11">
        <v>93588.761</v>
      </c>
      <c r="D8" s="11">
        <v>85836.866</v>
      </c>
      <c r="E8" s="20">
        <f t="shared" si="0"/>
        <v>75.58112019641946</v>
      </c>
      <c r="F8" s="20">
        <f t="shared" si="1"/>
        <v>91.71706632594484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f>67.918+0.6</f>
        <v>68.518</v>
      </c>
      <c r="E9" s="20">
        <f t="shared" si="0"/>
        <v>93.74854625309563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24147.141</v>
      </c>
      <c r="D10" s="11">
        <f>19228.194+1202.817</f>
        <v>20431.011</v>
      </c>
      <c r="E10" s="20">
        <f t="shared" si="0"/>
        <v>61.263851189762775</v>
      </c>
      <c r="F10" s="20">
        <f t="shared" si="1"/>
        <v>84.61047624644259</v>
      </c>
      <c r="G10" s="66"/>
    </row>
    <row r="11" spans="1:7" s="3" customFormat="1" ht="15">
      <c r="A11" s="12" t="s">
        <v>31</v>
      </c>
      <c r="B11" s="11">
        <v>78527.174</v>
      </c>
      <c r="C11" s="11">
        <v>56212.294</v>
      </c>
      <c r="D11" s="11">
        <v>39615.327</v>
      </c>
      <c r="E11" s="20">
        <f t="shared" si="0"/>
        <v>50.44792137814611</v>
      </c>
      <c r="F11" s="20">
        <f t="shared" si="1"/>
        <v>70.474489085964</v>
      </c>
      <c r="G11" s="66"/>
    </row>
    <row r="12" spans="1:7" s="3" customFormat="1" ht="15">
      <c r="A12" s="12" t="s">
        <v>13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16680.263000000028</v>
      </c>
      <c r="E12" s="20">
        <f t="shared" si="0"/>
        <v>68.7432870230135</v>
      </c>
      <c r="F12" s="20">
        <f t="shared" si="1"/>
        <v>75.60713087292821</v>
      </c>
      <c r="G12" s="66"/>
    </row>
    <row r="13" spans="1:7" s="3" customFormat="1" ht="15">
      <c r="A13" s="30" t="s">
        <v>14</v>
      </c>
      <c r="B13" s="58">
        <f>16516.755+17001.334</f>
        <v>33518.089</v>
      </c>
      <c r="C13" s="25">
        <f>15469.334+15262.216</f>
        <v>30731.550000000003</v>
      </c>
      <c r="D13" s="25">
        <f>19691.397+789.067</f>
        <v>20480.464</v>
      </c>
      <c r="E13" s="20">
        <f t="shared" si="0"/>
        <v>61.102719788112026</v>
      </c>
      <c r="F13" s="20">
        <f t="shared" si="1"/>
        <v>66.6431208318487</v>
      </c>
      <c r="G13" s="66"/>
    </row>
    <row r="14" spans="1:7" s="2" customFormat="1" ht="14.25">
      <c r="A14" s="17" t="s">
        <v>6</v>
      </c>
      <c r="B14" s="18">
        <f>B15+B22</f>
        <v>373263.95</v>
      </c>
      <c r="C14" s="18">
        <f>C15+C22</f>
        <v>311432.158</v>
      </c>
      <c r="D14" s="18">
        <f>D15+D22</f>
        <v>267370.744</v>
      </c>
      <c r="E14" s="19">
        <f t="shared" si="0"/>
        <v>71.63047596747556</v>
      </c>
      <c r="F14" s="19">
        <f t="shared" si="1"/>
        <v>85.85200247689258</v>
      </c>
      <c r="G14" s="67"/>
    </row>
    <row r="15" spans="1:7" s="14" customFormat="1" ht="15">
      <c r="A15" s="30" t="s">
        <v>33</v>
      </c>
      <c r="B15" s="25">
        <f>327910.177+25068</f>
        <v>352978.177</v>
      </c>
      <c r="C15" s="25">
        <f>270235.739+20910.646</f>
        <v>291146.385</v>
      </c>
      <c r="D15" s="25">
        <f>234337.053+705.966+18831.969</f>
        <v>253874.988</v>
      </c>
      <c r="E15" s="20">
        <f>SUM(D15)/B15*100</f>
        <v>71.92370649021737</v>
      </c>
      <c r="F15" s="20">
        <f>SUM(D15)/C15*100</f>
        <v>87.19839952675352</v>
      </c>
      <c r="G15" s="68"/>
    </row>
    <row r="16" spans="1:7" s="3" customFormat="1" ht="15">
      <c r="A16" s="12" t="s">
        <v>1</v>
      </c>
      <c r="B16" s="11">
        <v>138388.382</v>
      </c>
      <c r="C16" s="11">
        <v>113923.556</v>
      </c>
      <c r="D16" s="11">
        <v>103093.018</v>
      </c>
      <c r="E16" s="20">
        <f t="shared" si="0"/>
        <v>74.49542838068588</v>
      </c>
      <c r="F16" s="20">
        <f t="shared" si="1"/>
        <v>90.4931531456058</v>
      </c>
      <c r="G16" s="66"/>
    </row>
    <row r="17" spans="1:7" s="3" customFormat="1" ht="15">
      <c r="A17" s="12" t="s">
        <v>29</v>
      </c>
      <c r="B17" s="11">
        <v>49741.847</v>
      </c>
      <c r="C17" s="11">
        <v>41076.259</v>
      </c>
      <c r="D17" s="11">
        <v>36654.758</v>
      </c>
      <c r="E17" s="20">
        <f t="shared" si="0"/>
        <v>73.68998179741898</v>
      </c>
      <c r="F17" s="20">
        <f t="shared" si="1"/>
        <v>89.23587223461612</v>
      </c>
      <c r="G17" s="66"/>
    </row>
    <row r="18" spans="1:7" s="3" customFormat="1" ht="15">
      <c r="A18" s="12" t="s">
        <v>4</v>
      </c>
      <c r="B18" s="58">
        <v>11580.269</v>
      </c>
      <c r="C18" s="11">
        <v>10574.513</v>
      </c>
      <c r="D18" s="11">
        <f>8855.851+262.145</f>
        <v>9117.996000000001</v>
      </c>
      <c r="E18" s="20">
        <f t="shared" si="0"/>
        <v>78.73734193912077</v>
      </c>
      <c r="F18" s="20">
        <f t="shared" si="1"/>
        <v>86.22615528488168</v>
      </c>
      <c r="G18" s="66"/>
    </row>
    <row r="19" spans="1:7" s="3" customFormat="1" ht="15">
      <c r="A19" s="12" t="s">
        <v>5</v>
      </c>
      <c r="B19" s="11">
        <v>4056.884</v>
      </c>
      <c r="C19" s="11">
        <v>3446.687</v>
      </c>
      <c r="D19" s="11">
        <f>3003.711+43.327</f>
        <v>3047.0379999999996</v>
      </c>
      <c r="E19" s="20">
        <f t="shared" si="0"/>
        <v>75.10784138762655</v>
      </c>
      <c r="F19" s="20">
        <f t="shared" si="1"/>
        <v>88.40483629642029</v>
      </c>
      <c r="G19" s="66"/>
    </row>
    <row r="20" spans="1:7" s="3" customFormat="1" ht="15">
      <c r="A20" s="12" t="s">
        <v>31</v>
      </c>
      <c r="B20" s="11">
        <v>30224.41</v>
      </c>
      <c r="C20" s="11">
        <v>23623.552</v>
      </c>
      <c r="D20" s="11">
        <f>16954.508+197.146</f>
        <v>17151.654000000002</v>
      </c>
      <c r="E20" s="20">
        <f t="shared" si="0"/>
        <v>56.747688375058445</v>
      </c>
      <c r="F20" s="20">
        <f t="shared" si="1"/>
        <v>72.60404362561566</v>
      </c>
      <c r="G20" s="66"/>
    </row>
    <row r="21" spans="1:7" s="3" customFormat="1" ht="15">
      <c r="A21" s="56" t="s">
        <v>13</v>
      </c>
      <c r="B21" s="11">
        <f>SUM(B15)-B16-B17-B18-B19-B20</f>
        <v>118986.38500000001</v>
      </c>
      <c r="C21" s="11">
        <f>SUM(C15)-C16-C17-C18-C19-C20</f>
        <v>98501.81800000003</v>
      </c>
      <c r="D21" s="11">
        <f>SUM(D15)-D16-D17-D18-D19-D20</f>
        <v>84810.52400000003</v>
      </c>
      <c r="E21" s="20">
        <f t="shared" si="0"/>
        <v>71.27750288404849</v>
      </c>
      <c r="F21" s="20">
        <f t="shared" si="1"/>
        <v>86.10046567871468</v>
      </c>
      <c r="G21" s="66"/>
    </row>
    <row r="22" spans="1:7" s="3" customFormat="1" ht="15">
      <c r="A22" s="57" t="s">
        <v>14</v>
      </c>
      <c r="B22" s="25">
        <f>11416.945+8868.828</f>
        <v>20285.773</v>
      </c>
      <c r="C22" s="25">
        <f>8868.828+11416.945</f>
        <v>20285.773</v>
      </c>
      <c r="D22" s="25">
        <f>13018.097+477.659</f>
        <v>13495.756</v>
      </c>
      <c r="E22" s="20">
        <f t="shared" si="0"/>
        <v>66.52818209096591</v>
      </c>
      <c r="F22" s="20">
        <f t="shared" si="1"/>
        <v>66.52818209096591</v>
      </c>
      <c r="G22" s="66"/>
    </row>
    <row r="23" spans="1:7" s="2" customFormat="1" ht="28.5">
      <c r="A23" s="17" t="s">
        <v>28</v>
      </c>
      <c r="B23" s="18">
        <f>B24+B34</f>
        <v>700089.562</v>
      </c>
      <c r="C23" s="18">
        <f>C24+C34</f>
        <v>468250.629</v>
      </c>
      <c r="D23" s="18">
        <f>D24+D34</f>
        <v>435159.143</v>
      </c>
      <c r="E23" s="19">
        <f t="shared" si="0"/>
        <v>62.157639053615824</v>
      </c>
      <c r="F23" s="19">
        <f t="shared" si="1"/>
        <v>92.93295428760652</v>
      </c>
      <c r="G23" s="67"/>
    </row>
    <row r="24" spans="1:7" s="14" customFormat="1" ht="15">
      <c r="A24" s="30" t="s">
        <v>33</v>
      </c>
      <c r="B24" s="25">
        <v>696905.234</v>
      </c>
      <c r="C24" s="25">
        <v>465961.711</v>
      </c>
      <c r="D24" s="25">
        <f>434572.038+107.115</f>
        <v>434679.153</v>
      </c>
      <c r="E24" s="20">
        <f>SUM(D24)/B24*100</f>
        <v>62.37277778860819</v>
      </c>
      <c r="F24" s="20">
        <f>SUM(D24)/C24*100</f>
        <v>93.28645310086434</v>
      </c>
      <c r="G24" s="68"/>
    </row>
    <row r="25" spans="1:7" s="3" customFormat="1" ht="15">
      <c r="A25" s="12" t="s">
        <v>1</v>
      </c>
      <c r="B25" s="11">
        <v>11580.045</v>
      </c>
      <c r="C25" s="11">
        <v>9203.683</v>
      </c>
      <c r="D25" s="11">
        <f>8413.697+66.34</f>
        <v>8480.037</v>
      </c>
      <c r="E25" s="20">
        <f t="shared" si="0"/>
        <v>73.22974133520206</v>
      </c>
      <c r="F25" s="20">
        <f t="shared" si="1"/>
        <v>92.13743020049691</v>
      </c>
      <c r="G25" s="66"/>
    </row>
    <row r="26" spans="1:7" s="3" customFormat="1" ht="15">
      <c r="A26" s="12" t="s">
        <v>29</v>
      </c>
      <c r="B26" s="11">
        <v>4163.178</v>
      </c>
      <c r="C26" s="11">
        <v>3314.007</v>
      </c>
      <c r="D26" s="11">
        <f>3029.319+25.562</f>
        <v>3054.881</v>
      </c>
      <c r="E26" s="20">
        <f t="shared" si="0"/>
        <v>73.3785824194882</v>
      </c>
      <c r="F26" s="20">
        <f t="shared" si="1"/>
        <v>92.18088555636726</v>
      </c>
      <c r="G26" s="66"/>
    </row>
    <row r="27" spans="1:7" s="3" customFormat="1" ht="15">
      <c r="A27" s="12" t="s">
        <v>4</v>
      </c>
      <c r="B27" s="11">
        <v>77.62</v>
      </c>
      <c r="C27" s="11">
        <v>75.14</v>
      </c>
      <c r="D27" s="11">
        <f>67.28+0.44</f>
        <v>67.72</v>
      </c>
      <c r="E27" s="20">
        <f t="shared" si="0"/>
        <v>87.24555526926049</v>
      </c>
      <c r="F27" s="20">
        <f t="shared" si="1"/>
        <v>90.12509981368113</v>
      </c>
      <c r="G27" s="66"/>
    </row>
    <row r="28" spans="1:7" s="3" customFormat="1" ht="15">
      <c r="A28" s="12" t="s">
        <v>5</v>
      </c>
      <c r="B28" s="11">
        <v>138.829</v>
      </c>
      <c r="C28" s="11">
        <v>123.26</v>
      </c>
      <c r="D28" s="11">
        <f>115.093+5.65</f>
        <v>120.74300000000001</v>
      </c>
      <c r="E28" s="20">
        <f t="shared" si="0"/>
        <v>86.97246252584114</v>
      </c>
      <c r="F28" s="20">
        <f t="shared" si="1"/>
        <v>97.9579750121694</v>
      </c>
      <c r="G28" s="66"/>
    </row>
    <row r="29" spans="1:7" s="3" customFormat="1" ht="15">
      <c r="A29" s="12" t="s">
        <v>31</v>
      </c>
      <c r="B29" s="11">
        <v>1150.295</v>
      </c>
      <c r="C29" s="11">
        <v>778.821</v>
      </c>
      <c r="D29" s="11">
        <v>660.243</v>
      </c>
      <c r="E29" s="20">
        <f t="shared" si="0"/>
        <v>57.39771102195523</v>
      </c>
      <c r="F29" s="20">
        <f t="shared" si="1"/>
        <v>84.77467864888081</v>
      </c>
      <c r="G29" s="66"/>
    </row>
    <row r="30" spans="1:7" s="3" customFormat="1" ht="15">
      <c r="A30" s="12" t="s">
        <v>13</v>
      </c>
      <c r="B30" s="11">
        <f>SUM(B24)-B25-B26-B27-B28-B29</f>
        <v>679795.267</v>
      </c>
      <c r="C30" s="11">
        <f>SUM(C24)-C25-C26-C27-C28-C29</f>
        <v>452466.8</v>
      </c>
      <c r="D30" s="11">
        <f>SUM(D24)-D25-D26-D27-D28-D29</f>
        <v>422295.529</v>
      </c>
      <c r="E30" s="20">
        <f t="shared" si="0"/>
        <v>62.12098693532092</v>
      </c>
      <c r="F30" s="20">
        <f t="shared" si="1"/>
        <v>93.33182655611417</v>
      </c>
      <c r="G30" s="66"/>
    </row>
    <row r="31" spans="1:7" s="3" customFormat="1" ht="15">
      <c r="A31" s="12" t="s">
        <v>20</v>
      </c>
      <c r="B31" s="11">
        <f>SUM(B32:B33)</f>
        <v>664987.23</v>
      </c>
      <c r="C31" s="11">
        <f>SUM(C32:C33)</f>
        <v>387033.371</v>
      </c>
      <c r="D31" s="11">
        <f>SUM(D32:D33)</f>
        <v>372859.15800000005</v>
      </c>
      <c r="E31" s="20">
        <f>SUM(D31)/B31*100</f>
        <v>56.07012303078363</v>
      </c>
      <c r="F31" s="20">
        <f>SUM(D31)/C31*100</f>
        <v>96.33772845907906</v>
      </c>
      <c r="G31" s="66"/>
    </row>
    <row r="32" spans="1:7" s="3" customFormat="1" ht="30">
      <c r="A32" s="13" t="s">
        <v>24</v>
      </c>
      <c r="B32" s="11">
        <v>431369.7</v>
      </c>
      <c r="C32" s="11">
        <v>307877.823</v>
      </c>
      <c r="D32" s="11">
        <v>301895.449</v>
      </c>
      <c r="E32" s="20">
        <f>SUM(D32)/B32*100</f>
        <v>69.98531630756635</v>
      </c>
      <c r="F32" s="20">
        <f>SUM(D32)/C32*100</f>
        <v>98.0568999930859</v>
      </c>
      <c r="G32" s="66"/>
    </row>
    <row r="33" spans="1:7" s="3" customFormat="1" ht="15">
      <c r="A33" s="13" t="s">
        <v>21</v>
      </c>
      <c r="B33" s="11">
        <v>233617.53</v>
      </c>
      <c r="C33" s="11">
        <v>79155.548</v>
      </c>
      <c r="D33" s="11">
        <v>70963.709</v>
      </c>
      <c r="E33" s="20">
        <f>SUM(D33)/B33*100</f>
        <v>30.376020583729314</v>
      </c>
      <c r="F33" s="20">
        <f>SUM(D33)/C33*100</f>
        <v>89.65096041025451</v>
      </c>
      <c r="G33" s="66"/>
    </row>
    <row r="34" spans="1:7" s="3" customFormat="1" ht="15">
      <c r="A34" s="30" t="s">
        <v>14</v>
      </c>
      <c r="B34" s="25">
        <f>2396.328+788</f>
        <v>3184.328</v>
      </c>
      <c r="C34" s="25">
        <f>788+1500.918</f>
        <v>2288.9179999999997</v>
      </c>
      <c r="D34" s="25">
        <v>479.99</v>
      </c>
      <c r="E34" s="20">
        <f>SUM(D34)/B34*100</f>
        <v>15.073510015299933</v>
      </c>
      <c r="F34" s="20">
        <f>SUM(D34)/C34*100</f>
        <v>20.97017018521415</v>
      </c>
      <c r="G34" s="66"/>
    </row>
    <row r="35" spans="1:7" s="3" customFormat="1" ht="15">
      <c r="A35" s="12" t="s">
        <v>68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  <c r="G35" s="66"/>
    </row>
    <row r="36" spans="1:7" s="2" customFormat="1" ht="14.25">
      <c r="A36" s="17" t="s">
        <v>7</v>
      </c>
      <c r="B36" s="18">
        <f>B37+B42</f>
        <v>96866.24799999999</v>
      </c>
      <c r="C36" s="18">
        <f>C37+C42</f>
        <v>79039.155</v>
      </c>
      <c r="D36" s="18">
        <f>D37+D42</f>
        <v>62773.097</v>
      </c>
      <c r="E36" s="19">
        <f t="shared" si="0"/>
        <v>64.8038902053892</v>
      </c>
      <c r="F36" s="19">
        <f t="shared" si="1"/>
        <v>79.42025316439681</v>
      </c>
      <c r="G36" s="67"/>
    </row>
    <row r="37" spans="1:7" s="14" customFormat="1" ht="15">
      <c r="A37" s="30" t="s">
        <v>33</v>
      </c>
      <c r="B37" s="25">
        <v>77949.817</v>
      </c>
      <c r="C37" s="25">
        <v>61772.35</v>
      </c>
      <c r="D37" s="25">
        <f>54595.083+78.682</f>
        <v>54673.765</v>
      </c>
      <c r="E37" s="20">
        <f>SUM(D37)/B37*100</f>
        <v>70.13969641519492</v>
      </c>
      <c r="F37" s="20">
        <f>SUM(D37)/C37*100</f>
        <v>88.50847507015679</v>
      </c>
      <c r="G37" s="68"/>
    </row>
    <row r="38" spans="1:7" s="3" customFormat="1" ht="15">
      <c r="A38" s="12" t="s">
        <v>1</v>
      </c>
      <c r="B38" s="11">
        <v>33097.391</v>
      </c>
      <c r="C38" s="11">
        <v>27276.143</v>
      </c>
      <c r="D38" s="11">
        <f>24863.813+21.7</f>
        <v>24885.513</v>
      </c>
      <c r="E38" s="20">
        <f t="shared" si="0"/>
        <v>75.18874523976828</v>
      </c>
      <c r="F38" s="20">
        <f t="shared" si="1"/>
        <v>91.23545436757682</v>
      </c>
      <c r="G38" s="66"/>
    </row>
    <row r="39" spans="1:7" s="3" customFormat="1" ht="15">
      <c r="A39" s="12" t="s">
        <v>29</v>
      </c>
      <c r="B39" s="11">
        <v>12086.354</v>
      </c>
      <c r="C39" s="11">
        <v>10004.151</v>
      </c>
      <c r="D39" s="11">
        <f>8989.382+7.757</f>
        <v>8997.139</v>
      </c>
      <c r="E39" s="20">
        <f t="shared" si="0"/>
        <v>74.44047228800348</v>
      </c>
      <c r="F39" s="20">
        <f t="shared" si="1"/>
        <v>89.93405837236962</v>
      </c>
      <c r="G39" s="66"/>
    </row>
    <row r="40" spans="1:7" s="3" customFormat="1" ht="15">
      <c r="A40" s="12" t="s">
        <v>31</v>
      </c>
      <c r="B40" s="11">
        <v>5631.026</v>
      </c>
      <c r="C40" s="11">
        <v>3594.341</v>
      </c>
      <c r="D40" s="11">
        <v>3032.069</v>
      </c>
      <c r="E40" s="20">
        <f t="shared" si="0"/>
        <v>53.845764519645265</v>
      </c>
      <c r="F40" s="20">
        <f t="shared" si="1"/>
        <v>84.35674300240295</v>
      </c>
      <c r="G40" s="66"/>
    </row>
    <row r="41" spans="1:7" s="3" customFormat="1" ht="15">
      <c r="A41" s="12" t="s">
        <v>13</v>
      </c>
      <c r="B41" s="11">
        <f>SUM(B37)-B38-B39-B40</f>
        <v>27135.045999999995</v>
      </c>
      <c r="C41" s="11">
        <f>SUM(C37)-C38-C39-C40</f>
        <v>20897.714999999997</v>
      </c>
      <c r="D41" s="11">
        <f>SUM(D37)-D38-D39-D40</f>
        <v>17759.044</v>
      </c>
      <c r="E41" s="20">
        <f t="shared" si="0"/>
        <v>65.44689107952868</v>
      </c>
      <c r="F41" s="20">
        <f t="shared" si="1"/>
        <v>84.98079335468019</v>
      </c>
      <c r="G41" s="66"/>
    </row>
    <row r="42" spans="1:7" s="3" customFormat="1" ht="15">
      <c r="A42" s="30" t="s">
        <v>14</v>
      </c>
      <c r="B42" s="25">
        <f>8951+9965.431</f>
        <v>18916.431</v>
      </c>
      <c r="C42" s="25">
        <f>9965.431+7451-149.626</f>
        <v>17266.805</v>
      </c>
      <c r="D42" s="25">
        <f>7728.48+370.852</f>
        <v>8099.331999999999</v>
      </c>
      <c r="E42" s="20">
        <f t="shared" si="0"/>
        <v>42.816385395321134</v>
      </c>
      <c r="F42" s="20">
        <f t="shared" si="1"/>
        <v>46.90695238638532</v>
      </c>
      <c r="G42" s="66"/>
    </row>
    <row r="43" spans="1:7" s="2" customFormat="1" ht="14.25">
      <c r="A43" s="17" t="s">
        <v>8</v>
      </c>
      <c r="B43" s="18">
        <f>B44+B49</f>
        <v>45876.041</v>
      </c>
      <c r="C43" s="18">
        <f>C44+C49</f>
        <v>38020.485</v>
      </c>
      <c r="D43" s="18">
        <f>D44+D49</f>
        <v>31709.148</v>
      </c>
      <c r="E43" s="19">
        <f t="shared" si="0"/>
        <v>69.1191901236639</v>
      </c>
      <c r="F43" s="19">
        <f t="shared" si="1"/>
        <v>83.40016704153038</v>
      </c>
      <c r="G43" s="67"/>
    </row>
    <row r="44" spans="1:7" s="14" customFormat="1" ht="15">
      <c r="A44" s="30" t="s">
        <v>33</v>
      </c>
      <c r="B44" s="25">
        <v>40360.364</v>
      </c>
      <c r="C44" s="25">
        <v>32504.808</v>
      </c>
      <c r="D44" s="25">
        <f>28278.691+481.005</f>
        <v>28759.696</v>
      </c>
      <c r="E44" s="20">
        <f>SUM(D44)/B44*100</f>
        <v>71.25727607412064</v>
      </c>
      <c r="F44" s="20">
        <f>SUM(D44)/C44*100</f>
        <v>88.47828296663066</v>
      </c>
      <c r="G44" s="68"/>
    </row>
    <row r="45" spans="1:7" s="3" customFormat="1" ht="15">
      <c r="A45" s="12" t="s">
        <v>1</v>
      </c>
      <c r="B45" s="11">
        <v>20371.66</v>
      </c>
      <c r="C45" s="11">
        <v>16423.406</v>
      </c>
      <c r="D45" s="11">
        <f>14596.907+229.478</f>
        <v>14826.384999999998</v>
      </c>
      <c r="E45" s="20">
        <f t="shared" si="0"/>
        <v>72.77946421646541</v>
      </c>
      <c r="F45" s="20">
        <f t="shared" si="1"/>
        <v>90.27594519675151</v>
      </c>
      <c r="G45" s="66"/>
    </row>
    <row r="46" spans="1:7" s="3" customFormat="1" ht="15">
      <c r="A46" s="12" t="s">
        <v>29</v>
      </c>
      <c r="B46" s="11">
        <v>7318.765</v>
      </c>
      <c r="C46" s="11">
        <v>5903.089</v>
      </c>
      <c r="D46" s="11">
        <f>5252.652+79.689</f>
        <v>5332.341</v>
      </c>
      <c r="E46" s="20">
        <f t="shared" si="0"/>
        <v>72.85848090490677</v>
      </c>
      <c r="F46" s="20">
        <f t="shared" si="1"/>
        <v>90.33136718758603</v>
      </c>
      <c r="G46" s="66"/>
    </row>
    <row r="47" spans="1:7" s="3" customFormat="1" ht="15">
      <c r="A47" s="12" t="s">
        <v>31</v>
      </c>
      <c r="B47" s="11">
        <v>3303.442</v>
      </c>
      <c r="C47" s="11">
        <v>2283.08</v>
      </c>
      <c r="D47" s="11">
        <v>1767.371</v>
      </c>
      <c r="E47" s="20">
        <f t="shared" si="0"/>
        <v>53.500893916103266</v>
      </c>
      <c r="F47" s="20">
        <f t="shared" si="1"/>
        <v>77.41169823221263</v>
      </c>
      <c r="G47" s="66"/>
    </row>
    <row r="48" spans="1:7" s="3" customFormat="1" ht="15">
      <c r="A48" s="12" t="s">
        <v>13</v>
      </c>
      <c r="B48" s="11">
        <f>SUM(B44)-B45-B46-B47</f>
        <v>9366.497000000003</v>
      </c>
      <c r="C48" s="11">
        <f>SUM(C44)-C45-C46-C47</f>
        <v>7895.233000000002</v>
      </c>
      <c r="D48" s="11">
        <f>SUM(D44)-D45-D46-D47</f>
        <v>6833.599000000001</v>
      </c>
      <c r="E48" s="20">
        <f t="shared" si="0"/>
        <v>72.95789450421005</v>
      </c>
      <c r="F48" s="20">
        <f t="shared" si="1"/>
        <v>86.55348106889308</v>
      </c>
      <c r="G48" s="66"/>
    </row>
    <row r="49" spans="1:7" s="3" customFormat="1" ht="15">
      <c r="A49" s="30" t="s">
        <v>14</v>
      </c>
      <c r="B49" s="25">
        <f>2828.9+2686.777</f>
        <v>5515.677</v>
      </c>
      <c r="C49" s="25">
        <f>2686.777+2828.9</f>
        <v>5515.677</v>
      </c>
      <c r="D49" s="25">
        <v>2949.452</v>
      </c>
      <c r="E49" s="20">
        <f t="shared" si="0"/>
        <v>53.47397971273517</v>
      </c>
      <c r="F49" s="20">
        <f t="shared" si="1"/>
        <v>53.47397971273517</v>
      </c>
      <c r="G49" s="66"/>
    </row>
    <row r="50" spans="1:7" s="3" customFormat="1" ht="14.25">
      <c r="A50" s="17" t="s">
        <v>0</v>
      </c>
      <c r="B50" s="18">
        <f>B51+B56</f>
        <v>79201.18000000001</v>
      </c>
      <c r="C50" s="18">
        <f>C51+C56</f>
        <v>65455.899000000005</v>
      </c>
      <c r="D50" s="18">
        <f>D51+D56</f>
        <v>56860.86</v>
      </c>
      <c r="E50" s="19">
        <f t="shared" si="0"/>
        <v>71.79294550914518</v>
      </c>
      <c r="F50" s="19">
        <f t="shared" si="1"/>
        <v>86.86896195559089</v>
      </c>
      <c r="G50" s="66"/>
    </row>
    <row r="51" spans="1:7" s="3" customFormat="1" ht="15">
      <c r="A51" s="30" t="s">
        <v>33</v>
      </c>
      <c r="B51" s="25">
        <v>74795.85</v>
      </c>
      <c r="C51" s="25">
        <v>61050.569</v>
      </c>
      <c r="D51" s="25">
        <v>54272.926</v>
      </c>
      <c r="E51" s="20">
        <f>SUM(D51)/B51*100</f>
        <v>72.56141350088274</v>
      </c>
      <c r="F51" s="20">
        <f>SUM(D51)/C51*100</f>
        <v>88.89831313447709</v>
      </c>
      <c r="G51" s="66"/>
    </row>
    <row r="52" spans="1:7" s="3" customFormat="1" ht="15">
      <c r="A52" s="12" t="s">
        <v>1</v>
      </c>
      <c r="B52" s="11">
        <v>41542.044</v>
      </c>
      <c r="C52" s="11">
        <v>33738.69</v>
      </c>
      <c r="D52" s="11">
        <v>30846.998</v>
      </c>
      <c r="E52" s="20">
        <f t="shared" si="0"/>
        <v>74.25488740996951</v>
      </c>
      <c r="F52" s="20">
        <f t="shared" si="1"/>
        <v>91.42915151714544</v>
      </c>
      <c r="G52" s="66"/>
    </row>
    <row r="53" spans="1:7" s="3" customFormat="1" ht="15">
      <c r="A53" s="12" t="s">
        <v>29</v>
      </c>
      <c r="B53" s="11">
        <v>15008.932</v>
      </c>
      <c r="C53" s="11">
        <v>12198.509</v>
      </c>
      <c r="D53" s="11">
        <v>11145.928</v>
      </c>
      <c r="E53" s="20">
        <f t="shared" si="0"/>
        <v>74.26196614122843</v>
      </c>
      <c r="F53" s="20">
        <f t="shared" si="1"/>
        <v>91.37123233667327</v>
      </c>
      <c r="G53" s="66"/>
    </row>
    <row r="54" spans="1:7" s="3" customFormat="1" ht="15">
      <c r="A54" s="12" t="s">
        <v>31</v>
      </c>
      <c r="B54" s="11">
        <v>4210.676</v>
      </c>
      <c r="C54" s="11">
        <v>2989.626</v>
      </c>
      <c r="D54" s="11">
        <v>2437.207</v>
      </c>
      <c r="E54" s="20">
        <f t="shared" si="0"/>
        <v>57.88160855881572</v>
      </c>
      <c r="F54" s="20">
        <f t="shared" si="1"/>
        <v>81.5221368826736</v>
      </c>
      <c r="G54" s="66"/>
    </row>
    <row r="55" spans="1:7" s="3" customFormat="1" ht="15">
      <c r="A55" s="12" t="s">
        <v>13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9842.793</v>
      </c>
      <c r="E55" s="20">
        <f t="shared" si="0"/>
        <v>70.13434611653618</v>
      </c>
      <c r="F55" s="20">
        <f t="shared" si="1"/>
        <v>81.18608410075304</v>
      </c>
      <c r="G55" s="66"/>
    </row>
    <row r="56" spans="1:7" s="3" customFormat="1" ht="15">
      <c r="A56" s="30" t="s">
        <v>14</v>
      </c>
      <c r="B56" s="25">
        <f>200+4205.33</f>
        <v>4405.33</v>
      </c>
      <c r="C56" s="25">
        <f>200+4205.33</f>
        <v>4405.33</v>
      </c>
      <c r="D56" s="25">
        <v>2587.934</v>
      </c>
      <c r="E56" s="20">
        <f t="shared" si="0"/>
        <v>58.74551963190046</v>
      </c>
      <c r="F56" s="20">
        <f t="shared" si="1"/>
        <v>58.74551963190046</v>
      </c>
      <c r="G56" s="66"/>
    </row>
    <row r="57" spans="1:7" s="3" customFormat="1" ht="14.25" customHeight="1">
      <c r="A57" s="21" t="s">
        <v>9</v>
      </c>
      <c r="B57" s="22">
        <f>B58+B63</f>
        <v>294306.634</v>
      </c>
      <c r="C57" s="22">
        <f>C58+C63</f>
        <v>253976.568</v>
      </c>
      <c r="D57" s="22">
        <f>D58+D63</f>
        <v>175371.823</v>
      </c>
      <c r="E57" s="19">
        <f t="shared" si="0"/>
        <v>59.588131132647185</v>
      </c>
      <c r="F57" s="19">
        <f t="shared" si="1"/>
        <v>69.05039483799939</v>
      </c>
      <c r="G57" s="66"/>
    </row>
    <row r="58" spans="1:7" s="3" customFormat="1" ht="14.25" customHeight="1">
      <c r="A58" s="30" t="s">
        <v>33</v>
      </c>
      <c r="B58" s="25">
        <f>158681.628+35861.8</f>
        <v>194543.428</v>
      </c>
      <c r="C58" s="25">
        <f>137201.462+27403.9</f>
        <v>164605.362</v>
      </c>
      <c r="D58" s="25">
        <f>109593.378+56.563+10791.202</f>
        <v>120441.143</v>
      </c>
      <c r="E58" s="20">
        <f>SUM(D58)/B58*100</f>
        <v>61.909643640082244</v>
      </c>
      <c r="F58" s="20">
        <f>SUM(D58)/C58*100</f>
        <v>73.16963526376497</v>
      </c>
      <c r="G58" s="66"/>
    </row>
    <row r="59" spans="1:7" s="3" customFormat="1" ht="15">
      <c r="A59" s="12" t="s">
        <v>1</v>
      </c>
      <c r="B59" s="11">
        <v>423.637</v>
      </c>
      <c r="C59" s="11">
        <v>386.933</v>
      </c>
      <c r="D59" s="11">
        <v>303.445</v>
      </c>
      <c r="E59" s="20">
        <f t="shared" si="0"/>
        <v>71.62854047214951</v>
      </c>
      <c r="F59" s="20">
        <f t="shared" si="1"/>
        <v>78.42313785590787</v>
      </c>
      <c r="G59" s="66"/>
    </row>
    <row r="60" spans="1:7" s="3" customFormat="1" ht="15">
      <c r="A60" s="12" t="s">
        <v>29</v>
      </c>
      <c r="B60" s="11">
        <v>153.961</v>
      </c>
      <c r="C60" s="11">
        <v>140.532</v>
      </c>
      <c r="D60" s="11">
        <v>107.623</v>
      </c>
      <c r="E60" s="20">
        <f t="shared" si="0"/>
        <v>69.90276758399854</v>
      </c>
      <c r="F60" s="20">
        <f t="shared" si="1"/>
        <v>76.58255770927617</v>
      </c>
      <c r="G60" s="66"/>
    </row>
    <row r="61" spans="1:7" s="3" customFormat="1" ht="15">
      <c r="A61" s="12" t="s">
        <v>31</v>
      </c>
      <c r="B61" s="11">
        <v>15891.008</v>
      </c>
      <c r="C61" s="11">
        <v>12304.438</v>
      </c>
      <c r="D61" s="11">
        <v>10239.148</v>
      </c>
      <c r="E61" s="20">
        <f t="shared" si="0"/>
        <v>64.43359666045099</v>
      </c>
      <c r="F61" s="20">
        <f t="shared" si="1"/>
        <v>83.21508060750112</v>
      </c>
      <c r="G61" s="66"/>
    </row>
    <row r="62" spans="1:7" s="3" customFormat="1" ht="15">
      <c r="A62" s="12" t="s">
        <v>13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109790.92699999998</v>
      </c>
      <c r="E62" s="20">
        <f t="shared" si="0"/>
        <v>61.654379752798505</v>
      </c>
      <c r="F62" s="20">
        <f t="shared" si="1"/>
        <v>72.33868670015617</v>
      </c>
      <c r="G62" s="66"/>
    </row>
    <row r="63" spans="1:7" s="3" customFormat="1" ht="15">
      <c r="A63" s="30" t="s">
        <v>14</v>
      </c>
      <c r="B63" s="25">
        <f>61251.718-35861.8+74373.288</f>
        <v>99763.206</v>
      </c>
      <c r="C63" s="25">
        <f>51793.818-27403.9+64981.288</f>
        <v>89371.206</v>
      </c>
      <c r="D63" s="25">
        <f>54878.225+52.455</f>
        <v>54930.68</v>
      </c>
      <c r="E63" s="20">
        <f t="shared" si="0"/>
        <v>55.061061289469784</v>
      </c>
      <c r="F63" s="20">
        <f t="shared" si="1"/>
        <v>61.463509846784426</v>
      </c>
      <c r="G63" s="66"/>
    </row>
    <row r="64" spans="1:7" s="3" customFormat="1" ht="17.25" customHeight="1">
      <c r="A64" s="21" t="s">
        <v>23</v>
      </c>
      <c r="B64" s="22">
        <f>SUM(B65)</f>
        <v>83300.756</v>
      </c>
      <c r="C64" s="22">
        <f>SUM(C65)</f>
        <v>68227.658</v>
      </c>
      <c r="D64" s="22">
        <f>SUM(D65)</f>
        <v>24328.399</v>
      </c>
      <c r="E64" s="19">
        <f t="shared" si="0"/>
        <v>29.205496046158334</v>
      </c>
      <c r="F64" s="19">
        <f t="shared" si="1"/>
        <v>35.65767859128332</v>
      </c>
      <c r="G64" s="66"/>
    </row>
    <row r="65" spans="1:7" s="3" customFormat="1" ht="15">
      <c r="A65" s="30" t="s">
        <v>14</v>
      </c>
      <c r="B65" s="25">
        <f>19538.959+63761.797</f>
        <v>83300.756</v>
      </c>
      <c r="C65" s="25">
        <f>54564.264+13663.394</f>
        <v>68227.658</v>
      </c>
      <c r="D65" s="25">
        <f>23061.09+1267.309</f>
        <v>24328.399</v>
      </c>
      <c r="E65" s="20">
        <f t="shared" si="0"/>
        <v>29.205496046158334</v>
      </c>
      <c r="F65" s="20">
        <f t="shared" si="1"/>
        <v>35.65767859128332</v>
      </c>
      <c r="G65" s="66"/>
    </row>
    <row r="66" spans="1:7" s="3" customFormat="1" ht="15" customHeight="1">
      <c r="A66" s="23" t="s">
        <v>18</v>
      </c>
      <c r="B66" s="22">
        <f>SUM(B67:B68)</f>
        <v>152245.844</v>
      </c>
      <c r="C66" s="22">
        <f>SUM(C67:C68)</f>
        <v>140250.19700000001</v>
      </c>
      <c r="D66" s="22">
        <f>SUM(D67:D68)</f>
        <v>106719.701</v>
      </c>
      <c r="E66" s="19">
        <f t="shared" si="0"/>
        <v>70.09695515892047</v>
      </c>
      <c r="F66" s="19">
        <f t="shared" si="1"/>
        <v>76.0923715493961</v>
      </c>
      <c r="G66" s="66"/>
    </row>
    <row r="67" spans="1:7" s="3" customFormat="1" ht="15">
      <c r="A67" s="30" t="s">
        <v>13</v>
      </c>
      <c r="B67" s="25">
        <v>59582.369</v>
      </c>
      <c r="C67" s="25">
        <v>53823.222</v>
      </c>
      <c r="D67" s="25">
        <v>49195.58</v>
      </c>
      <c r="E67" s="20">
        <f t="shared" si="0"/>
        <v>82.56734471232589</v>
      </c>
      <c r="F67" s="20">
        <f t="shared" si="1"/>
        <v>91.40214608482562</v>
      </c>
      <c r="G67" s="66"/>
    </row>
    <row r="68" spans="1:7" s="3" customFormat="1" ht="15">
      <c r="A68" s="30" t="s">
        <v>14</v>
      </c>
      <c r="B68" s="25">
        <f>40309.086+52354.389</f>
        <v>92663.475</v>
      </c>
      <c r="C68" s="25">
        <f>51554.389+34872.586</f>
        <v>86426.975</v>
      </c>
      <c r="D68" s="25">
        <v>57524.121</v>
      </c>
      <c r="E68" s="20">
        <f t="shared" si="0"/>
        <v>62.07852770468622</v>
      </c>
      <c r="F68" s="20">
        <f t="shared" si="1"/>
        <v>66.55806361381964</v>
      </c>
      <c r="G68" s="66"/>
    </row>
    <row r="69" spans="1:7" s="3" customFormat="1" ht="60.75" customHeight="1">
      <c r="A69" s="24" t="s">
        <v>22</v>
      </c>
      <c r="B69" s="22">
        <f>SUM(B70:B70)</f>
        <v>46206</v>
      </c>
      <c r="C69" s="22">
        <f>SUM(C70:C70)</f>
        <v>38889.075</v>
      </c>
      <c r="D69" s="22">
        <f>SUM(D70:D70)</f>
        <v>28258.6</v>
      </c>
      <c r="E69" s="19">
        <f t="shared" si="0"/>
        <v>61.15785828680258</v>
      </c>
      <c r="F69" s="19">
        <f t="shared" si="1"/>
        <v>72.66462367644384</v>
      </c>
      <c r="G69" s="66"/>
    </row>
    <row r="70" spans="1:7" s="3" customFormat="1" ht="15">
      <c r="A70" s="30" t="s">
        <v>14</v>
      </c>
      <c r="B70" s="25">
        <v>46206</v>
      </c>
      <c r="C70" s="25">
        <f>26019.075+12870</f>
        <v>38889.075</v>
      </c>
      <c r="D70" s="25">
        <v>28258.6</v>
      </c>
      <c r="E70" s="20">
        <f t="shared" si="0"/>
        <v>61.15785828680258</v>
      </c>
      <c r="F70" s="20">
        <f t="shared" si="1"/>
        <v>72.66462367644384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6178.6759999999995</v>
      </c>
      <c r="D71" s="18">
        <f>SUM(D72)+D75</f>
        <v>3851.975</v>
      </c>
      <c r="E71" s="19">
        <f t="shared" si="0"/>
        <v>56.57430933952149</v>
      </c>
      <c r="F71" s="19">
        <f t="shared" si="1"/>
        <v>62.34304889914927</v>
      </c>
      <c r="G71" s="66"/>
    </row>
    <row r="72" spans="1:7" s="3" customFormat="1" ht="15">
      <c r="A72" s="30" t="s">
        <v>33</v>
      </c>
      <c r="B72" s="25">
        <v>5036.657</v>
      </c>
      <c r="C72" s="25">
        <v>4406.633</v>
      </c>
      <c r="D72" s="25">
        <v>3851.975</v>
      </c>
      <c r="E72" s="20">
        <f>SUM(D72)/B72*100</f>
        <v>76.47880330147557</v>
      </c>
      <c r="F72" s="20">
        <f>SUM(D72)/C72*100</f>
        <v>87.41311109865514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SUM(B71)-B73</f>
        <v>6802.628000000001</v>
      </c>
      <c r="C74" s="11">
        <f>SUM(C71)-C73</f>
        <v>6174.004</v>
      </c>
      <c r="D74" s="11">
        <f>SUM(D71)-D73</f>
        <v>3850.485</v>
      </c>
      <c r="E74" s="20">
        <f aca="true" t="shared" si="2" ref="E74:E92">SUM(D74)/B74*100</f>
        <v>56.60290405413907</v>
      </c>
      <c r="F74" s="20">
        <f aca="true" t="shared" si="3" ref="F74:F92">SUM(D74)/C74*100</f>
        <v>62.36609176152138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  <c r="G75" s="66"/>
    </row>
    <row r="76" spans="1:7" s="3" customFormat="1" ht="15">
      <c r="A76" s="23" t="s">
        <v>11</v>
      </c>
      <c r="B76" s="25">
        <v>2500</v>
      </c>
      <c r="C76" s="25">
        <v>1000</v>
      </c>
      <c r="D76" s="25"/>
      <c r="E76" s="19">
        <f t="shared" si="2"/>
        <v>0</v>
      </c>
      <c r="F76" s="19"/>
      <c r="G76" s="66"/>
    </row>
    <row r="77" spans="1:7" s="3" customFormat="1" ht="15">
      <c r="A77" s="23" t="s">
        <v>12</v>
      </c>
      <c r="B77" s="25">
        <v>18418.4</v>
      </c>
      <c r="C77" s="25">
        <v>15348.8</v>
      </c>
      <c r="D77" s="25">
        <v>14325.6</v>
      </c>
      <c r="E77" s="19">
        <f t="shared" si="2"/>
        <v>77.7787429961343</v>
      </c>
      <c r="F77" s="19">
        <f t="shared" si="3"/>
        <v>93.33368080892318</v>
      </c>
      <c r="G77" s="66"/>
    </row>
    <row r="78" spans="1:7" s="2" customFormat="1" ht="14.25">
      <c r="A78" s="17" t="s">
        <v>19</v>
      </c>
      <c r="B78" s="18">
        <f>SUM(B79)+B83</f>
        <v>11938.775</v>
      </c>
      <c r="C78" s="18">
        <f>SUM(C79)+C83</f>
        <v>11054.221</v>
      </c>
      <c r="D78" s="18">
        <f>SUM(D79)+D83</f>
        <v>6007.16957</v>
      </c>
      <c r="E78" s="19">
        <f t="shared" si="2"/>
        <v>50.31646521523356</v>
      </c>
      <c r="F78" s="19">
        <f t="shared" si="3"/>
        <v>54.34276707512904</v>
      </c>
      <c r="G78" s="67"/>
    </row>
    <row r="79" spans="1:7" s="2" customFormat="1" ht="15">
      <c r="A79" s="30" t="s">
        <v>33</v>
      </c>
      <c r="B79" s="25">
        <f>8440.456-571.501+470.8+119</f>
        <v>8458.755</v>
      </c>
      <c r="C79" s="25">
        <f>3736.424+3837.777</f>
        <v>7574.201</v>
      </c>
      <c r="D79" s="25">
        <f>1673.88631+744.93026-565.125+618.093+746.943</f>
        <v>3218.72757</v>
      </c>
      <c r="E79" s="20">
        <f>SUM(D79)/B79*100</f>
        <v>38.0520250320526</v>
      </c>
      <c r="F79" s="20">
        <f>SUM(D79)/C79*100</f>
        <v>42.49593547887097</v>
      </c>
      <c r="G79" s="67"/>
    </row>
    <row r="80" spans="1:7" s="3" customFormat="1" ht="15">
      <c r="A80" s="12" t="s">
        <v>1</v>
      </c>
      <c r="B80" s="11">
        <f>98.3+1977.142</f>
        <v>2075.442</v>
      </c>
      <c r="C80" s="11">
        <f>98.3+1968.388</f>
        <v>2066.688</v>
      </c>
      <c r="D80" s="11">
        <f>77.317+14.327+15.863</f>
        <v>107.50699999999999</v>
      </c>
      <c r="E80" s="20">
        <f t="shared" si="2"/>
        <v>5.179956847746166</v>
      </c>
      <c r="F80" s="20">
        <f t="shared" si="3"/>
        <v>5.201897915892481</v>
      </c>
      <c r="G80" s="66"/>
    </row>
    <row r="81" spans="1:7" s="3" customFormat="1" ht="15">
      <c r="A81" s="12" t="s">
        <v>29</v>
      </c>
      <c r="B81" s="11">
        <f>33.7+716.409</f>
        <v>750.109</v>
      </c>
      <c r="C81" s="11">
        <f>33.7+713.371</f>
        <v>747.071</v>
      </c>
      <c r="D81" s="11">
        <f>26.829+4.971+5.507</f>
        <v>37.307</v>
      </c>
      <c r="E81" s="20">
        <f t="shared" si="2"/>
        <v>4.973543844961199</v>
      </c>
      <c r="F81" s="20">
        <f t="shared" si="3"/>
        <v>4.993768999198203</v>
      </c>
      <c r="G81" s="66"/>
    </row>
    <row r="82" spans="1:7" s="3" customFormat="1" ht="15">
      <c r="A82" s="12" t="s">
        <v>13</v>
      </c>
      <c r="B82" s="11">
        <f>SUM(B79)-B80-B81</f>
        <v>5633.203999999999</v>
      </c>
      <c r="C82" s="11">
        <f>SUM(C79)-C80-C81</f>
        <v>4760.442</v>
      </c>
      <c r="D82" s="11">
        <f>SUM(D79)-D80-D81</f>
        <v>3073.91357</v>
      </c>
      <c r="E82" s="20">
        <f t="shared" si="2"/>
        <v>54.567765875334906</v>
      </c>
      <c r="F82" s="20">
        <f t="shared" si="3"/>
        <v>64.57202020316602</v>
      </c>
      <c r="G82" s="66"/>
    </row>
    <row r="83" spans="1:7" s="3" customFormat="1" ht="15">
      <c r="A83" s="30" t="s">
        <v>14</v>
      </c>
      <c r="B83" s="25">
        <f>3330.394+149.626</f>
        <v>3480.02</v>
      </c>
      <c r="C83" s="25">
        <f>3090.394+389.626</f>
        <v>3480.0199999999995</v>
      </c>
      <c r="D83" s="25">
        <v>2788.442</v>
      </c>
      <c r="E83" s="20">
        <f t="shared" si="2"/>
        <v>80.12718317710818</v>
      </c>
      <c r="F83" s="20">
        <f t="shared" si="3"/>
        <v>80.12718317710818</v>
      </c>
      <c r="G83" s="66"/>
    </row>
    <row r="84" spans="1:7" s="3" customFormat="1" ht="40.5">
      <c r="A84" s="26" t="s">
        <v>25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2525195.803</v>
      </c>
      <c r="C85" s="28">
        <f>C5+C14+C23+C36+C43+C50+C57+C64+C66+C69+C71+C76+C77+C78+C84</f>
        <v>1999856.499</v>
      </c>
      <c r="D85" s="28">
        <f>D5+D14+D23+D36+D43+D50+D57+D64+D66+D69+D71+D76+D77+D78+D84</f>
        <v>1648958.3935700003</v>
      </c>
      <c r="E85" s="19">
        <f t="shared" si="2"/>
        <v>65.30021915967839</v>
      </c>
      <c r="F85" s="19">
        <f t="shared" si="3"/>
        <v>82.45383578244432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2091339.446</v>
      </c>
      <c r="C86" s="28">
        <f>C6+C15+C24+C37+C44+C51+C58+C67+C72+C79+C77</f>
        <v>1611850.2399999998</v>
      </c>
      <c r="D86" s="28">
        <f>D6+D15+D24+D37+D44+D51+D58+D67+D72+D79+D77</f>
        <v>1414737.6925700002</v>
      </c>
      <c r="E86" s="19">
        <f>SUM(D86)/B86*100</f>
        <v>67.64744457318481</v>
      </c>
      <c r="F86" s="19">
        <f>SUM(D86)/C86*100</f>
        <v>87.7710383670632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560005.7640000001</v>
      </c>
      <c r="C87" s="22">
        <f t="shared" si="4"/>
        <v>460592.25600000005</v>
      </c>
      <c r="D87" s="22">
        <f t="shared" si="4"/>
        <v>417355.05700000003</v>
      </c>
      <c r="E87" s="19">
        <f t="shared" si="2"/>
        <v>74.5269216550421</v>
      </c>
      <c r="F87" s="19">
        <f t="shared" si="3"/>
        <v>90.61269519042891</v>
      </c>
      <c r="G87" s="70"/>
    </row>
    <row r="88" spans="1:6" ht="15">
      <c r="A88" s="29" t="s">
        <v>30</v>
      </c>
      <c r="B88" s="22">
        <f t="shared" si="4"/>
        <v>202792.33600000004</v>
      </c>
      <c r="C88" s="22">
        <f t="shared" si="4"/>
        <v>166972.37900000002</v>
      </c>
      <c r="D88" s="22">
        <f t="shared" si="4"/>
        <v>151166.843</v>
      </c>
      <c r="E88" s="19">
        <f t="shared" si="2"/>
        <v>74.54268044922564</v>
      </c>
      <c r="F88" s="19">
        <f t="shared" si="3"/>
        <v>90.5340415614489</v>
      </c>
    </row>
    <row r="89" spans="1:6" ht="15">
      <c r="A89" s="29" t="s">
        <v>2</v>
      </c>
      <c r="B89" s="22">
        <f>B73+B11+B20+B29+B40+B47+B54+B61</f>
        <v>138944.103</v>
      </c>
      <c r="C89" s="22">
        <f>C73+C11+C20+C29+C40+C47+C54+C61</f>
        <v>101790.824</v>
      </c>
      <c r="D89" s="22">
        <f>D73+D11+D20+D29+D40+D47+D54+D61</f>
        <v>74904.509</v>
      </c>
      <c r="E89" s="19">
        <f t="shared" si="2"/>
        <v>53.90981508585507</v>
      </c>
      <c r="F89" s="19">
        <f t="shared" si="3"/>
        <v>73.58670070300248</v>
      </c>
    </row>
    <row r="90" spans="1:6" ht="15">
      <c r="A90" s="29" t="s">
        <v>13</v>
      </c>
      <c r="B90" s="22">
        <f>B86-B87-B88-B89</f>
        <v>1189597.2429999998</v>
      </c>
      <c r="C90" s="22">
        <f>C86-C87-C88-C89</f>
        <v>882494.7809999997</v>
      </c>
      <c r="D90" s="22">
        <f>D86-D87-D88-D89</f>
        <v>771311.2835700002</v>
      </c>
      <c r="E90" s="19">
        <f t="shared" si="2"/>
        <v>64.83801875875736</v>
      </c>
      <c r="F90" s="19">
        <f t="shared" si="3"/>
        <v>87.4012288997322</v>
      </c>
    </row>
    <row r="91" spans="1:6" ht="15">
      <c r="A91" s="17" t="s">
        <v>14</v>
      </c>
      <c r="B91" s="18">
        <f>B13+B22+B42+B34+B56+B63+B65+B68+B70+B75+B83+B49</f>
        <v>413011.1280000001</v>
      </c>
      <c r="C91" s="18">
        <f>C13+C22+C42+C34+C56+C63+C65+C68+C70+C75+C83+C49</f>
        <v>368661.03</v>
      </c>
      <c r="D91" s="18">
        <f>D13+D22+D42+D34+D56+D63+D65+D68+D70+D75+D83+D49</f>
        <v>215923.17</v>
      </c>
      <c r="E91" s="19">
        <f t="shared" si="2"/>
        <v>52.28023057044603</v>
      </c>
      <c r="F91" s="19">
        <f t="shared" si="3"/>
        <v>58.569567279731196</v>
      </c>
    </row>
    <row r="92" spans="1:6" ht="15">
      <c r="A92" s="17" t="s">
        <v>26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15">
      <c r="A93" s="17" t="s">
        <v>32</v>
      </c>
      <c r="B93" s="18">
        <f>SUM(B76)</f>
        <v>2500</v>
      </c>
      <c r="C93" s="18">
        <f>SUM(C76)</f>
        <v>1000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43">
      <selection activeCell="B5" sqref="B5:D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71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74</v>
      </c>
      <c r="D3" s="34" t="s">
        <v>76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595828.484</v>
      </c>
      <c r="C5" s="18">
        <f>C6+C13</f>
        <v>484387.749</v>
      </c>
      <c r="D5" s="18">
        <f>D6+D13</f>
        <v>417924.603</v>
      </c>
      <c r="E5" s="19">
        <f>SUM(D5)/B5*100</f>
        <v>70.14176297754841</v>
      </c>
      <c r="F5" s="19">
        <f>SUM(D5)/C5*100</f>
        <v>86.27893745512544</v>
      </c>
      <c r="G5" s="38"/>
    </row>
    <row r="6" spans="1:6" s="41" customFormat="1" ht="15">
      <c r="A6" s="40" t="s">
        <v>39</v>
      </c>
      <c r="B6" s="55">
        <v>562310.395</v>
      </c>
      <c r="C6" s="25">
        <v>453656.199</v>
      </c>
      <c r="D6" s="25">
        <f>397443.031+1.108</f>
        <v>397444.139</v>
      </c>
      <c r="E6" s="20">
        <f>SUM(D6)/B6*100</f>
        <v>70.6805605114236</v>
      </c>
      <c r="F6" s="20">
        <f>SUM(D6)/C6*100</f>
        <v>87.6091057228119</v>
      </c>
    </row>
    <row r="7" spans="1:6" s="41" customFormat="1" ht="15">
      <c r="A7" s="42" t="s">
        <v>40</v>
      </c>
      <c r="B7" s="11">
        <f>312527.163</f>
        <v>312527.163</v>
      </c>
      <c r="C7" s="11">
        <v>257573.157</v>
      </c>
      <c r="D7" s="11">
        <v>234812.154</v>
      </c>
      <c r="E7" s="20">
        <f aca="true" t="shared" si="0" ref="E7:E73">SUM(D7)/B7*100</f>
        <v>75.13335856825988</v>
      </c>
      <c r="F7" s="20">
        <f aca="true" t="shared" si="1" ref="F7:F73">SUM(D7)/C7*100</f>
        <v>91.16328608729985</v>
      </c>
    </row>
    <row r="8" spans="1:6" s="41" customFormat="1" ht="15">
      <c r="A8" s="42" t="s">
        <v>41</v>
      </c>
      <c r="B8" s="11">
        <v>113569.19</v>
      </c>
      <c r="C8" s="11">
        <v>93588.761</v>
      </c>
      <c r="D8" s="11">
        <v>85836.866</v>
      </c>
      <c r="E8" s="20">
        <f t="shared" si="0"/>
        <v>75.58112019641946</v>
      </c>
      <c r="F8" s="20">
        <f t="shared" si="1"/>
        <v>91.71706632594484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f>67.918+0.6</f>
        <v>68.518</v>
      </c>
      <c r="E9" s="20">
        <f t="shared" si="0"/>
        <v>93.74854625309563</v>
      </c>
      <c r="F9" s="20"/>
    </row>
    <row r="10" spans="1:6" s="41" customFormat="1" ht="15">
      <c r="A10" s="42" t="s">
        <v>43</v>
      </c>
      <c r="B10" s="11">
        <v>33349.211</v>
      </c>
      <c r="C10" s="11">
        <v>24147.141</v>
      </c>
      <c r="D10" s="11">
        <f>19228.194+1202.817</f>
        <v>20431.011</v>
      </c>
      <c r="E10" s="20">
        <f t="shared" si="0"/>
        <v>61.263851189762775</v>
      </c>
      <c r="F10" s="20">
        <f t="shared" si="1"/>
        <v>84.61047624644259</v>
      </c>
    </row>
    <row r="11" spans="1:6" s="41" customFormat="1" ht="30">
      <c r="A11" s="42" t="s">
        <v>44</v>
      </c>
      <c r="B11" s="11">
        <v>78527.174</v>
      </c>
      <c r="C11" s="11">
        <v>56212.294</v>
      </c>
      <c r="D11" s="11">
        <v>39615.327</v>
      </c>
      <c r="E11" s="20">
        <f t="shared" si="0"/>
        <v>50.44792137814611</v>
      </c>
      <c r="F11" s="20">
        <f t="shared" si="1"/>
        <v>70.474489085964</v>
      </c>
    </row>
    <row r="12" spans="1:6" s="41" customFormat="1" ht="15">
      <c r="A12" s="42" t="s">
        <v>45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16680.263000000028</v>
      </c>
      <c r="E12" s="20">
        <f t="shared" si="0"/>
        <v>68.7432870230135</v>
      </c>
      <c r="F12" s="20">
        <f t="shared" si="1"/>
        <v>75.60713087292821</v>
      </c>
    </row>
    <row r="13" spans="1:6" s="41" customFormat="1" ht="15">
      <c r="A13" s="40" t="s">
        <v>46</v>
      </c>
      <c r="B13" s="58">
        <f>16516.755+17001.334</f>
        <v>33518.089</v>
      </c>
      <c r="C13" s="25">
        <f>15469.334+15262.216</f>
        <v>30731.550000000003</v>
      </c>
      <c r="D13" s="25">
        <f>19691.397+789.067</f>
        <v>20480.464</v>
      </c>
      <c r="E13" s="20">
        <f t="shared" si="0"/>
        <v>61.102719788112026</v>
      </c>
      <c r="F13" s="20">
        <f t="shared" si="1"/>
        <v>66.6431208318487</v>
      </c>
    </row>
    <row r="14" spans="1:6" s="39" customFormat="1" ht="14.25">
      <c r="A14" s="37" t="s">
        <v>47</v>
      </c>
      <c r="B14" s="18">
        <f>B15+B22</f>
        <v>373263.95</v>
      </c>
      <c r="C14" s="18">
        <f>C15+C22</f>
        <v>311432.158</v>
      </c>
      <c r="D14" s="18">
        <f>D15+D22</f>
        <v>267370.744</v>
      </c>
      <c r="E14" s="19">
        <f t="shared" si="0"/>
        <v>71.63047596747556</v>
      </c>
      <c r="F14" s="19">
        <f t="shared" si="1"/>
        <v>85.85200247689258</v>
      </c>
    </row>
    <row r="15" spans="1:6" s="41" customFormat="1" ht="15">
      <c r="A15" s="40" t="s">
        <v>48</v>
      </c>
      <c r="B15" s="25">
        <f>327910.177+25068</f>
        <v>352978.177</v>
      </c>
      <c r="C15" s="25">
        <f>270235.739+20910.646</f>
        <v>291146.385</v>
      </c>
      <c r="D15" s="25">
        <f>234337.053+705.966+18831.969</f>
        <v>253874.988</v>
      </c>
      <c r="E15" s="20">
        <f>SUM(D15)/B15*100</f>
        <v>71.92370649021737</v>
      </c>
      <c r="F15" s="20">
        <f>SUM(D15)/C15*100</f>
        <v>87.19839952675352</v>
      </c>
    </row>
    <row r="16" spans="1:6" s="41" customFormat="1" ht="15">
      <c r="A16" s="42" t="s">
        <v>40</v>
      </c>
      <c r="B16" s="11">
        <v>138388.382</v>
      </c>
      <c r="C16" s="11">
        <v>113923.556</v>
      </c>
      <c r="D16" s="11">
        <v>103093.018</v>
      </c>
      <c r="E16" s="20">
        <f t="shared" si="0"/>
        <v>74.49542838068588</v>
      </c>
      <c r="F16" s="20">
        <f t="shared" si="1"/>
        <v>90.4931531456058</v>
      </c>
    </row>
    <row r="17" spans="1:6" s="41" customFormat="1" ht="15">
      <c r="A17" s="42" t="s">
        <v>41</v>
      </c>
      <c r="B17" s="11">
        <v>49741.847</v>
      </c>
      <c r="C17" s="11">
        <v>41076.259</v>
      </c>
      <c r="D17" s="11">
        <v>36654.758</v>
      </c>
      <c r="E17" s="20">
        <f t="shared" si="0"/>
        <v>73.68998179741898</v>
      </c>
      <c r="F17" s="20">
        <f t="shared" si="1"/>
        <v>89.23587223461612</v>
      </c>
    </row>
    <row r="18" spans="1:6" s="41" customFormat="1" ht="15">
      <c r="A18" s="42" t="s">
        <v>42</v>
      </c>
      <c r="B18" s="58">
        <v>11580.269</v>
      </c>
      <c r="C18" s="11">
        <v>10574.513</v>
      </c>
      <c r="D18" s="11">
        <f>8855.851+262.145</f>
        <v>9117.996000000001</v>
      </c>
      <c r="E18" s="20">
        <f t="shared" si="0"/>
        <v>78.73734193912077</v>
      </c>
      <c r="F18" s="20">
        <f t="shared" si="1"/>
        <v>86.22615528488168</v>
      </c>
    </row>
    <row r="19" spans="1:6" s="41" customFormat="1" ht="15">
      <c r="A19" s="42" t="s">
        <v>43</v>
      </c>
      <c r="B19" s="11">
        <v>4056.884</v>
      </c>
      <c r="C19" s="11">
        <v>3446.687</v>
      </c>
      <c r="D19" s="11">
        <f>3003.711+43.327</f>
        <v>3047.0379999999996</v>
      </c>
      <c r="E19" s="20">
        <f t="shared" si="0"/>
        <v>75.10784138762655</v>
      </c>
      <c r="F19" s="20">
        <f t="shared" si="1"/>
        <v>88.40483629642029</v>
      </c>
    </row>
    <row r="20" spans="1:6" s="41" customFormat="1" ht="30">
      <c r="A20" s="42" t="s">
        <v>44</v>
      </c>
      <c r="B20" s="11">
        <v>30224.41</v>
      </c>
      <c r="C20" s="11">
        <v>23623.552</v>
      </c>
      <c r="D20" s="11">
        <f>16954.508+197.146</f>
        <v>17151.654000000002</v>
      </c>
      <c r="E20" s="20">
        <f t="shared" si="0"/>
        <v>56.747688375058445</v>
      </c>
      <c r="F20" s="20">
        <f t="shared" si="1"/>
        <v>72.60404362561566</v>
      </c>
    </row>
    <row r="21" spans="1:6" s="41" customFormat="1" ht="15">
      <c r="A21" s="42" t="s">
        <v>45</v>
      </c>
      <c r="B21" s="11">
        <f>SUM(B15)-B16-B17-B18-B19-B20</f>
        <v>118986.38500000001</v>
      </c>
      <c r="C21" s="11">
        <f>SUM(C15)-C16-C17-C18-C19-C20</f>
        <v>98501.81800000003</v>
      </c>
      <c r="D21" s="11">
        <f>SUM(D15)-D16-D17-D18-D19-D20</f>
        <v>84810.52400000003</v>
      </c>
      <c r="E21" s="20">
        <f t="shared" si="0"/>
        <v>71.27750288404849</v>
      </c>
      <c r="F21" s="20">
        <f t="shared" si="1"/>
        <v>86.10046567871468</v>
      </c>
    </row>
    <row r="22" spans="1:6" s="41" customFormat="1" ht="15">
      <c r="A22" s="40" t="s">
        <v>46</v>
      </c>
      <c r="B22" s="25">
        <f>11416.945+8868.828</f>
        <v>20285.773</v>
      </c>
      <c r="C22" s="25">
        <f>8868.828+11416.945</f>
        <v>20285.773</v>
      </c>
      <c r="D22" s="25">
        <f>13018.097+477.659</f>
        <v>13495.756</v>
      </c>
      <c r="E22" s="20">
        <f t="shared" si="0"/>
        <v>66.52818209096591</v>
      </c>
      <c r="F22" s="20">
        <f t="shared" si="1"/>
        <v>66.52818209096591</v>
      </c>
    </row>
    <row r="23" spans="1:6" s="39" customFormat="1" ht="28.5">
      <c r="A23" s="37" t="s">
        <v>64</v>
      </c>
      <c r="B23" s="18">
        <f>B24+B34</f>
        <v>700089.562</v>
      </c>
      <c r="C23" s="18">
        <f>C24+C34</f>
        <v>468250.629</v>
      </c>
      <c r="D23" s="18">
        <f>D24+D34</f>
        <v>435159.143</v>
      </c>
      <c r="E23" s="19">
        <f t="shared" si="0"/>
        <v>62.157639053615824</v>
      </c>
      <c r="F23" s="19">
        <f t="shared" si="1"/>
        <v>92.93295428760652</v>
      </c>
    </row>
    <row r="24" spans="1:6" s="41" customFormat="1" ht="15">
      <c r="A24" s="40" t="s">
        <v>48</v>
      </c>
      <c r="B24" s="25">
        <v>696905.234</v>
      </c>
      <c r="C24" s="25">
        <v>465961.711</v>
      </c>
      <c r="D24" s="25">
        <f>434572.038+107.115</f>
        <v>434679.153</v>
      </c>
      <c r="E24" s="20">
        <f>SUM(D24)/B24*100</f>
        <v>62.37277778860819</v>
      </c>
      <c r="F24" s="20">
        <f>SUM(D24)/C24*100</f>
        <v>93.28645310086434</v>
      </c>
    </row>
    <row r="25" spans="1:6" s="41" customFormat="1" ht="15">
      <c r="A25" s="42" t="s">
        <v>40</v>
      </c>
      <c r="B25" s="11">
        <v>11580.045</v>
      </c>
      <c r="C25" s="11">
        <v>9203.683</v>
      </c>
      <c r="D25" s="11">
        <f>8413.697+66.34</f>
        <v>8480.037</v>
      </c>
      <c r="E25" s="20">
        <f t="shared" si="0"/>
        <v>73.22974133520206</v>
      </c>
      <c r="F25" s="20">
        <f t="shared" si="1"/>
        <v>92.13743020049691</v>
      </c>
    </row>
    <row r="26" spans="1:6" s="41" customFormat="1" ht="15">
      <c r="A26" s="42" t="s">
        <v>41</v>
      </c>
      <c r="B26" s="11">
        <v>4163.178</v>
      </c>
      <c r="C26" s="11">
        <v>3314.007</v>
      </c>
      <c r="D26" s="11">
        <f>3029.319+25.562</f>
        <v>3054.881</v>
      </c>
      <c r="E26" s="20">
        <f t="shared" si="0"/>
        <v>73.3785824194882</v>
      </c>
      <c r="F26" s="20">
        <f t="shared" si="1"/>
        <v>92.18088555636726</v>
      </c>
    </row>
    <row r="27" spans="1:6" s="41" customFormat="1" ht="15">
      <c r="A27" s="42" t="s">
        <v>42</v>
      </c>
      <c r="B27" s="11">
        <v>77.62</v>
      </c>
      <c r="C27" s="11">
        <v>75.14</v>
      </c>
      <c r="D27" s="11">
        <f>67.28+0.44</f>
        <v>67.72</v>
      </c>
      <c r="E27" s="20">
        <f t="shared" si="0"/>
        <v>87.24555526926049</v>
      </c>
      <c r="F27" s="20">
        <f t="shared" si="1"/>
        <v>90.12509981368113</v>
      </c>
    </row>
    <row r="28" spans="1:6" s="41" customFormat="1" ht="15">
      <c r="A28" s="42" t="s">
        <v>43</v>
      </c>
      <c r="B28" s="11">
        <v>138.829</v>
      </c>
      <c r="C28" s="11">
        <v>123.26</v>
      </c>
      <c r="D28" s="11">
        <f>115.093+5.65</f>
        <v>120.74300000000001</v>
      </c>
      <c r="E28" s="20">
        <f t="shared" si="0"/>
        <v>86.97246252584114</v>
      </c>
      <c r="F28" s="20">
        <f t="shared" si="1"/>
        <v>97.9579750121694</v>
      </c>
    </row>
    <row r="29" spans="1:6" s="41" customFormat="1" ht="30">
      <c r="A29" s="42" t="s">
        <v>44</v>
      </c>
      <c r="B29" s="11">
        <v>1150.295</v>
      </c>
      <c r="C29" s="11">
        <v>778.821</v>
      </c>
      <c r="D29" s="11">
        <v>660.243</v>
      </c>
      <c r="E29" s="20">
        <f t="shared" si="0"/>
        <v>57.39771102195523</v>
      </c>
      <c r="F29" s="20">
        <f t="shared" si="1"/>
        <v>84.77467864888081</v>
      </c>
    </row>
    <row r="30" spans="1:6" s="41" customFormat="1" ht="15">
      <c r="A30" s="42" t="s">
        <v>45</v>
      </c>
      <c r="B30" s="11">
        <f>SUM(B24)-B25-B26-B27-B28-B29</f>
        <v>679795.267</v>
      </c>
      <c r="C30" s="11">
        <f>SUM(C24)-C25-C26-C27-C28-C29</f>
        <v>452466.8</v>
      </c>
      <c r="D30" s="11">
        <f>SUM(D24)-D25-D26-D27-D28-D29</f>
        <v>422295.529</v>
      </c>
      <c r="E30" s="20">
        <f t="shared" si="0"/>
        <v>62.12098693532092</v>
      </c>
      <c r="F30" s="20">
        <f t="shared" si="1"/>
        <v>93.33182655611417</v>
      </c>
    </row>
    <row r="31" spans="1:6" s="41" customFormat="1" ht="15">
      <c r="A31" s="42" t="s">
        <v>49</v>
      </c>
      <c r="B31" s="11">
        <f>SUM(B32:B33)</f>
        <v>664987.23</v>
      </c>
      <c r="C31" s="11">
        <f>SUM(C32:C33)</f>
        <v>387033.371</v>
      </c>
      <c r="D31" s="11">
        <f>SUM(D32:D33)</f>
        <v>372859.15800000005</v>
      </c>
      <c r="E31" s="20">
        <f>SUM(D31)/B31*100</f>
        <v>56.07012303078363</v>
      </c>
      <c r="F31" s="20">
        <f>SUM(D31)/C31*100</f>
        <v>96.33772845907906</v>
      </c>
    </row>
    <row r="32" spans="1:6" s="41" customFormat="1" ht="30">
      <c r="A32" s="43" t="s">
        <v>70</v>
      </c>
      <c r="B32" s="11">
        <v>431369.7</v>
      </c>
      <c r="C32" s="11">
        <v>307877.823</v>
      </c>
      <c r="D32" s="11">
        <v>301895.449</v>
      </c>
      <c r="E32" s="20">
        <f>SUM(D32)/B32*100</f>
        <v>69.98531630756635</v>
      </c>
      <c r="F32" s="20">
        <f>SUM(D32)/C32*100</f>
        <v>98.0568999930859</v>
      </c>
    </row>
    <row r="33" spans="1:6" s="41" customFormat="1" ht="15">
      <c r="A33" s="43" t="s">
        <v>65</v>
      </c>
      <c r="B33" s="11">
        <v>233617.53</v>
      </c>
      <c r="C33" s="11">
        <v>79155.548</v>
      </c>
      <c r="D33" s="11">
        <v>70963.709</v>
      </c>
      <c r="E33" s="20">
        <f>SUM(D33)/B33*100</f>
        <v>30.376020583729314</v>
      </c>
      <c r="F33" s="20">
        <f>SUM(D33)/C33*100</f>
        <v>89.65096041025451</v>
      </c>
    </row>
    <row r="34" spans="1:6" s="41" customFormat="1" ht="15">
      <c r="A34" s="40" t="s">
        <v>46</v>
      </c>
      <c r="B34" s="25">
        <f>2396.328+788</f>
        <v>3184.328</v>
      </c>
      <c r="C34" s="25">
        <f>788+1500.918</f>
        <v>2288.9179999999997</v>
      </c>
      <c r="D34" s="25">
        <v>479.99</v>
      </c>
      <c r="E34" s="20">
        <f>SUM(D34)/B34*100</f>
        <v>15.073510015299933</v>
      </c>
      <c r="F34" s="20">
        <f>SUM(D34)/C34*100</f>
        <v>20.97017018521415</v>
      </c>
    </row>
    <row r="35" spans="1:6" s="41" customFormat="1" ht="15">
      <c r="A35" s="42" t="s">
        <v>69</v>
      </c>
      <c r="B35" s="11">
        <v>156.528</v>
      </c>
      <c r="C35" s="11">
        <v>38.50684</v>
      </c>
      <c r="D35" s="11">
        <v>38.507</v>
      </c>
      <c r="E35" s="20">
        <f>SUM(D35)/B35*100</f>
        <v>24.600710416027805</v>
      </c>
      <c r="F35" s="20">
        <f>SUM(D35)/C35*100</f>
        <v>100.00041551059499</v>
      </c>
    </row>
    <row r="36" spans="1:6" s="39" customFormat="1" ht="14.25">
      <c r="A36" s="37" t="s">
        <v>66</v>
      </c>
      <c r="B36" s="18">
        <f>B37+B42</f>
        <v>96866.24799999999</v>
      </c>
      <c r="C36" s="18">
        <f>C37+C42</f>
        <v>79039.155</v>
      </c>
      <c r="D36" s="18">
        <f>D37+D42</f>
        <v>62773.097</v>
      </c>
      <c r="E36" s="19">
        <f t="shared" si="0"/>
        <v>64.8038902053892</v>
      </c>
      <c r="F36" s="19">
        <f t="shared" si="1"/>
        <v>79.42025316439681</v>
      </c>
    </row>
    <row r="37" spans="1:6" s="41" customFormat="1" ht="15">
      <c r="A37" s="40" t="s">
        <v>48</v>
      </c>
      <c r="B37" s="25">
        <v>77949.817</v>
      </c>
      <c r="C37" s="25">
        <v>61772.35</v>
      </c>
      <c r="D37" s="25">
        <f>54595.083+78.682</f>
        <v>54673.765</v>
      </c>
      <c r="E37" s="20">
        <f>SUM(D37)/B37*100</f>
        <v>70.13969641519492</v>
      </c>
      <c r="F37" s="20">
        <f>SUM(D37)/C37*100</f>
        <v>88.50847507015679</v>
      </c>
    </row>
    <row r="38" spans="1:6" s="41" customFormat="1" ht="15">
      <c r="A38" s="42" t="s">
        <v>40</v>
      </c>
      <c r="B38" s="11">
        <v>33097.391</v>
      </c>
      <c r="C38" s="11">
        <v>27276.143</v>
      </c>
      <c r="D38" s="11">
        <f>24863.813+21.7</f>
        <v>24885.513</v>
      </c>
      <c r="E38" s="20">
        <f t="shared" si="0"/>
        <v>75.18874523976828</v>
      </c>
      <c r="F38" s="20">
        <f t="shared" si="1"/>
        <v>91.23545436757682</v>
      </c>
    </row>
    <row r="39" spans="1:6" s="41" customFormat="1" ht="15">
      <c r="A39" s="42" t="s">
        <v>41</v>
      </c>
      <c r="B39" s="11">
        <v>12086.354</v>
      </c>
      <c r="C39" s="11">
        <v>10004.151</v>
      </c>
      <c r="D39" s="11">
        <f>8989.382+7.757</f>
        <v>8997.139</v>
      </c>
      <c r="E39" s="20">
        <f t="shared" si="0"/>
        <v>74.44047228800348</v>
      </c>
      <c r="F39" s="20">
        <f t="shared" si="1"/>
        <v>89.93405837236962</v>
      </c>
    </row>
    <row r="40" spans="1:6" s="41" customFormat="1" ht="30">
      <c r="A40" s="42" t="s">
        <v>44</v>
      </c>
      <c r="B40" s="11">
        <v>5631.026</v>
      </c>
      <c r="C40" s="11">
        <v>3594.341</v>
      </c>
      <c r="D40" s="11">
        <v>3032.069</v>
      </c>
      <c r="E40" s="20">
        <f t="shared" si="0"/>
        <v>53.845764519645265</v>
      </c>
      <c r="F40" s="20">
        <f t="shared" si="1"/>
        <v>84.35674300240295</v>
      </c>
    </row>
    <row r="41" spans="1:6" s="41" customFormat="1" ht="15">
      <c r="A41" s="42" t="s">
        <v>45</v>
      </c>
      <c r="B41" s="11">
        <f>SUM(B37)-B38-B39-B40</f>
        <v>27135.045999999995</v>
      </c>
      <c r="C41" s="11">
        <f>SUM(C37)-C38-C39-C40</f>
        <v>20897.714999999997</v>
      </c>
      <c r="D41" s="11">
        <f>SUM(D37)-D38-D39-D40</f>
        <v>17759.044</v>
      </c>
      <c r="E41" s="20">
        <f t="shared" si="0"/>
        <v>65.44689107952868</v>
      </c>
      <c r="F41" s="20">
        <f t="shared" si="1"/>
        <v>84.98079335468019</v>
      </c>
    </row>
    <row r="42" spans="1:6" s="41" customFormat="1" ht="15">
      <c r="A42" s="40" t="s">
        <v>46</v>
      </c>
      <c r="B42" s="25">
        <f>8951+9965.431</f>
        <v>18916.431</v>
      </c>
      <c r="C42" s="25">
        <f>9965.431+7451-149.626</f>
        <v>17266.805</v>
      </c>
      <c r="D42" s="25">
        <f>7728.48+370.852</f>
        <v>8099.331999999999</v>
      </c>
      <c r="E42" s="20">
        <f t="shared" si="0"/>
        <v>42.816385395321134</v>
      </c>
      <c r="F42" s="20">
        <f t="shared" si="1"/>
        <v>46.90695238638532</v>
      </c>
    </row>
    <row r="43" spans="1:6" s="39" customFormat="1" ht="14.25">
      <c r="A43" s="37" t="s">
        <v>67</v>
      </c>
      <c r="B43" s="18">
        <f>B44+B49</f>
        <v>45876.041</v>
      </c>
      <c r="C43" s="18">
        <f>C44+C49</f>
        <v>38020.485</v>
      </c>
      <c r="D43" s="18">
        <f>D44+D49</f>
        <v>31709.148</v>
      </c>
      <c r="E43" s="19">
        <f t="shared" si="0"/>
        <v>69.1191901236639</v>
      </c>
      <c r="F43" s="19">
        <f t="shared" si="1"/>
        <v>83.40016704153038</v>
      </c>
    </row>
    <row r="44" spans="1:6" s="41" customFormat="1" ht="15">
      <c r="A44" s="40" t="s">
        <v>48</v>
      </c>
      <c r="B44" s="25">
        <v>40360.364</v>
      </c>
      <c r="C44" s="25">
        <v>32504.808</v>
      </c>
      <c r="D44" s="25">
        <f>28278.691+481.005</f>
        <v>28759.696</v>
      </c>
      <c r="E44" s="20">
        <f>SUM(D44)/B44*100</f>
        <v>71.25727607412064</v>
      </c>
      <c r="F44" s="20">
        <f>SUM(D44)/C44*100</f>
        <v>88.47828296663066</v>
      </c>
    </row>
    <row r="45" spans="1:6" s="41" customFormat="1" ht="15">
      <c r="A45" s="42" t="s">
        <v>40</v>
      </c>
      <c r="B45" s="11">
        <v>20371.66</v>
      </c>
      <c r="C45" s="11">
        <v>16423.406</v>
      </c>
      <c r="D45" s="11">
        <f>14596.907+229.478</f>
        <v>14826.384999999998</v>
      </c>
      <c r="E45" s="20">
        <f t="shared" si="0"/>
        <v>72.77946421646541</v>
      </c>
      <c r="F45" s="20">
        <f t="shared" si="1"/>
        <v>90.27594519675151</v>
      </c>
    </row>
    <row r="46" spans="1:6" s="41" customFormat="1" ht="15">
      <c r="A46" s="42" t="s">
        <v>41</v>
      </c>
      <c r="B46" s="11">
        <v>7318.765</v>
      </c>
      <c r="C46" s="11">
        <v>5903.089</v>
      </c>
      <c r="D46" s="11">
        <f>5252.652+79.689</f>
        <v>5332.341</v>
      </c>
      <c r="E46" s="20">
        <f t="shared" si="0"/>
        <v>72.85848090490677</v>
      </c>
      <c r="F46" s="20">
        <f t="shared" si="1"/>
        <v>90.33136718758603</v>
      </c>
    </row>
    <row r="47" spans="1:6" s="41" customFormat="1" ht="30">
      <c r="A47" s="42" t="s">
        <v>44</v>
      </c>
      <c r="B47" s="11">
        <v>3303.442</v>
      </c>
      <c r="C47" s="11">
        <v>2283.08</v>
      </c>
      <c r="D47" s="11">
        <v>1767.371</v>
      </c>
      <c r="E47" s="20">
        <f t="shared" si="0"/>
        <v>53.500893916103266</v>
      </c>
      <c r="F47" s="20">
        <f t="shared" si="1"/>
        <v>77.41169823221263</v>
      </c>
    </row>
    <row r="48" spans="1:6" s="41" customFormat="1" ht="15">
      <c r="A48" s="42" t="s">
        <v>45</v>
      </c>
      <c r="B48" s="11">
        <f>SUM(B44)-B45-B46-B47</f>
        <v>9366.497000000003</v>
      </c>
      <c r="C48" s="11">
        <f>SUM(C44)-C45-C46-C47</f>
        <v>7895.233000000002</v>
      </c>
      <c r="D48" s="11">
        <f>SUM(D44)-D45-D46-D47</f>
        <v>6833.599000000001</v>
      </c>
      <c r="E48" s="20">
        <f t="shared" si="0"/>
        <v>72.95789450421005</v>
      </c>
      <c r="F48" s="20">
        <f t="shared" si="1"/>
        <v>86.55348106889308</v>
      </c>
    </row>
    <row r="49" spans="1:6" s="41" customFormat="1" ht="15">
      <c r="A49" s="40" t="s">
        <v>46</v>
      </c>
      <c r="B49" s="25">
        <f>2828.9+2686.777</f>
        <v>5515.677</v>
      </c>
      <c r="C49" s="25">
        <f>2686.777+2828.9</f>
        <v>5515.677</v>
      </c>
      <c r="D49" s="25">
        <v>2949.452</v>
      </c>
      <c r="E49" s="20">
        <f t="shared" si="0"/>
        <v>53.47397971273517</v>
      </c>
      <c r="F49" s="20">
        <f t="shared" si="1"/>
        <v>53.47397971273517</v>
      </c>
    </row>
    <row r="50" spans="1:6" s="41" customFormat="1" ht="14.25">
      <c r="A50" s="37" t="s">
        <v>50</v>
      </c>
      <c r="B50" s="18">
        <f>B51+B56</f>
        <v>79201.18000000001</v>
      </c>
      <c r="C50" s="18">
        <f>C51+C56</f>
        <v>65455.899000000005</v>
      </c>
      <c r="D50" s="18">
        <f>D51+D56</f>
        <v>56860.86</v>
      </c>
      <c r="E50" s="19">
        <f t="shared" si="0"/>
        <v>71.79294550914518</v>
      </c>
      <c r="F50" s="19">
        <f t="shared" si="1"/>
        <v>86.86896195559089</v>
      </c>
    </row>
    <row r="51" spans="1:6" s="41" customFormat="1" ht="15">
      <c r="A51" s="40" t="s">
        <v>48</v>
      </c>
      <c r="B51" s="25">
        <v>74795.85</v>
      </c>
      <c r="C51" s="25">
        <v>61050.569</v>
      </c>
      <c r="D51" s="25">
        <v>54272.926</v>
      </c>
      <c r="E51" s="20">
        <f>SUM(D51)/B51*100</f>
        <v>72.56141350088274</v>
      </c>
      <c r="F51" s="20">
        <f>SUM(D51)/C51*100</f>
        <v>88.89831313447709</v>
      </c>
    </row>
    <row r="52" spans="1:6" s="41" customFormat="1" ht="15">
      <c r="A52" s="42" t="s">
        <v>40</v>
      </c>
      <c r="B52" s="11">
        <v>41542.044</v>
      </c>
      <c r="C52" s="11">
        <v>33738.69</v>
      </c>
      <c r="D52" s="11">
        <v>30846.998</v>
      </c>
      <c r="E52" s="20">
        <f t="shared" si="0"/>
        <v>74.25488740996951</v>
      </c>
      <c r="F52" s="20">
        <f t="shared" si="1"/>
        <v>91.42915151714544</v>
      </c>
    </row>
    <row r="53" spans="1:6" s="41" customFormat="1" ht="15">
      <c r="A53" s="42" t="s">
        <v>41</v>
      </c>
      <c r="B53" s="11">
        <v>15008.932</v>
      </c>
      <c r="C53" s="11">
        <v>12198.509</v>
      </c>
      <c r="D53" s="11">
        <v>11145.928</v>
      </c>
      <c r="E53" s="20">
        <f t="shared" si="0"/>
        <v>74.26196614122843</v>
      </c>
      <c r="F53" s="20">
        <f t="shared" si="1"/>
        <v>91.37123233667327</v>
      </c>
    </row>
    <row r="54" spans="1:6" s="41" customFormat="1" ht="30">
      <c r="A54" s="42" t="s">
        <v>44</v>
      </c>
      <c r="B54" s="11">
        <v>4210.676</v>
      </c>
      <c r="C54" s="11">
        <v>2989.626</v>
      </c>
      <c r="D54" s="11">
        <v>2437.207</v>
      </c>
      <c r="E54" s="20">
        <f t="shared" si="0"/>
        <v>57.88160855881572</v>
      </c>
      <c r="F54" s="20">
        <f t="shared" si="1"/>
        <v>81.5221368826736</v>
      </c>
    </row>
    <row r="55" spans="1:6" s="41" customFormat="1" ht="15">
      <c r="A55" s="42" t="s">
        <v>45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9842.793</v>
      </c>
      <c r="E55" s="20">
        <f t="shared" si="0"/>
        <v>70.13434611653618</v>
      </c>
      <c r="F55" s="20">
        <f t="shared" si="1"/>
        <v>81.18608410075304</v>
      </c>
    </row>
    <row r="56" spans="1:6" s="41" customFormat="1" ht="15">
      <c r="A56" s="40" t="s">
        <v>46</v>
      </c>
      <c r="B56" s="25">
        <f>200+4205.33</f>
        <v>4405.33</v>
      </c>
      <c r="C56" s="25">
        <f>200+4205.33</f>
        <v>4405.33</v>
      </c>
      <c r="D56" s="25">
        <v>2587.934</v>
      </c>
      <c r="E56" s="20">
        <f t="shared" si="0"/>
        <v>58.74551963190046</v>
      </c>
      <c r="F56" s="20">
        <f t="shared" si="1"/>
        <v>58.74551963190046</v>
      </c>
    </row>
    <row r="57" spans="1:6" s="41" customFormat="1" ht="28.5">
      <c r="A57" s="21" t="s">
        <v>51</v>
      </c>
      <c r="B57" s="22">
        <f>B58+B63</f>
        <v>294306.634</v>
      </c>
      <c r="C57" s="22">
        <f>C58+C63</f>
        <v>253976.568</v>
      </c>
      <c r="D57" s="22">
        <f>D58+D63</f>
        <v>175371.823</v>
      </c>
      <c r="E57" s="19">
        <f t="shared" si="0"/>
        <v>59.588131132647185</v>
      </c>
      <c r="F57" s="19">
        <f t="shared" si="1"/>
        <v>69.05039483799939</v>
      </c>
    </row>
    <row r="58" spans="1:6" s="41" customFormat="1" ht="15">
      <c r="A58" s="40" t="s">
        <v>48</v>
      </c>
      <c r="B58" s="25">
        <f>158681.628+35861.8</f>
        <v>194543.428</v>
      </c>
      <c r="C58" s="25">
        <f>137201.462+27403.9</f>
        <v>164605.362</v>
      </c>
      <c r="D58" s="25">
        <f>109593.378+56.563+10791.202</f>
        <v>120441.143</v>
      </c>
      <c r="E58" s="20">
        <f>SUM(D58)/B58*100</f>
        <v>61.909643640082244</v>
      </c>
      <c r="F58" s="20">
        <f>SUM(D58)/C58*100</f>
        <v>73.16963526376497</v>
      </c>
    </row>
    <row r="59" spans="1:6" s="41" customFormat="1" ht="15">
      <c r="A59" s="42" t="s">
        <v>40</v>
      </c>
      <c r="B59" s="11">
        <v>423.637</v>
      </c>
      <c r="C59" s="11">
        <v>386.933</v>
      </c>
      <c r="D59" s="11">
        <v>303.445</v>
      </c>
      <c r="E59" s="20">
        <f t="shared" si="0"/>
        <v>71.62854047214951</v>
      </c>
      <c r="F59" s="20">
        <f t="shared" si="1"/>
        <v>78.42313785590787</v>
      </c>
    </row>
    <row r="60" spans="1:6" s="41" customFormat="1" ht="15">
      <c r="A60" s="42" t="s">
        <v>41</v>
      </c>
      <c r="B60" s="11">
        <v>153.961</v>
      </c>
      <c r="C60" s="11">
        <v>140.532</v>
      </c>
      <c r="D60" s="11">
        <v>107.623</v>
      </c>
      <c r="E60" s="20">
        <f t="shared" si="0"/>
        <v>69.90276758399854</v>
      </c>
      <c r="F60" s="20">
        <f t="shared" si="1"/>
        <v>76.58255770927617</v>
      </c>
    </row>
    <row r="61" spans="1:6" s="41" customFormat="1" ht="30">
      <c r="A61" s="42" t="s">
        <v>44</v>
      </c>
      <c r="B61" s="11">
        <v>15891.008</v>
      </c>
      <c r="C61" s="11">
        <v>12304.438</v>
      </c>
      <c r="D61" s="11">
        <v>10239.148</v>
      </c>
      <c r="E61" s="20">
        <f t="shared" si="0"/>
        <v>64.43359666045099</v>
      </c>
      <c r="F61" s="20">
        <f t="shared" si="1"/>
        <v>83.21508060750112</v>
      </c>
    </row>
    <row r="62" spans="1:6" s="41" customFormat="1" ht="15">
      <c r="A62" s="42" t="s">
        <v>45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109790.92699999998</v>
      </c>
      <c r="E62" s="20">
        <f t="shared" si="0"/>
        <v>61.654379752798505</v>
      </c>
      <c r="F62" s="20">
        <f t="shared" si="1"/>
        <v>72.33868670015617</v>
      </c>
    </row>
    <row r="63" spans="1:6" s="41" customFormat="1" ht="15">
      <c r="A63" s="40" t="s">
        <v>46</v>
      </c>
      <c r="B63" s="25">
        <f>61251.718-35861.8+74373.288</f>
        <v>99763.206</v>
      </c>
      <c r="C63" s="25">
        <f>51793.818-27403.9+64981.288</f>
        <v>89371.206</v>
      </c>
      <c r="D63" s="25">
        <f>54878.225+52.455</f>
        <v>54930.68</v>
      </c>
      <c r="E63" s="20">
        <f t="shared" si="0"/>
        <v>55.061061289469784</v>
      </c>
      <c r="F63" s="20">
        <f t="shared" si="1"/>
        <v>61.463509846784426</v>
      </c>
    </row>
    <row r="64" spans="1:6" s="41" customFormat="1" ht="15">
      <c r="A64" s="21" t="s">
        <v>52</v>
      </c>
      <c r="B64" s="22">
        <f>SUM(B65)</f>
        <v>83300.756</v>
      </c>
      <c r="C64" s="22">
        <f>SUM(C65)</f>
        <v>68227.658</v>
      </c>
      <c r="D64" s="22">
        <f>SUM(D65)</f>
        <v>24328.399</v>
      </c>
      <c r="E64" s="19">
        <f t="shared" si="0"/>
        <v>29.205496046158334</v>
      </c>
      <c r="F64" s="19">
        <f t="shared" si="1"/>
        <v>35.65767859128332</v>
      </c>
    </row>
    <row r="65" spans="1:6" s="41" customFormat="1" ht="15">
      <c r="A65" s="40" t="s">
        <v>46</v>
      </c>
      <c r="B65" s="25">
        <f>19538.959+63761.797</f>
        <v>83300.756</v>
      </c>
      <c r="C65" s="25">
        <f>54564.264+13663.394</f>
        <v>68227.658</v>
      </c>
      <c r="D65" s="25">
        <f>23061.09+1267.309</f>
        <v>24328.399</v>
      </c>
      <c r="E65" s="20">
        <f t="shared" si="0"/>
        <v>29.205496046158334</v>
      </c>
      <c r="F65" s="20">
        <f t="shared" si="1"/>
        <v>35.65767859128332</v>
      </c>
    </row>
    <row r="66" spans="1:6" s="41" customFormat="1" ht="15">
      <c r="A66" s="44" t="s">
        <v>53</v>
      </c>
      <c r="B66" s="22">
        <f>SUM(B67:B68)</f>
        <v>152245.844</v>
      </c>
      <c r="C66" s="22">
        <f>SUM(C67:C68)</f>
        <v>140250.19700000001</v>
      </c>
      <c r="D66" s="22">
        <f>SUM(D67:D68)</f>
        <v>106719.701</v>
      </c>
      <c r="E66" s="19">
        <f t="shared" si="0"/>
        <v>70.09695515892047</v>
      </c>
      <c r="F66" s="19">
        <f t="shared" si="1"/>
        <v>76.0923715493961</v>
      </c>
    </row>
    <row r="67" spans="1:6" s="41" customFormat="1" ht="15">
      <c r="A67" s="40" t="s">
        <v>45</v>
      </c>
      <c r="B67" s="25">
        <v>59582.369</v>
      </c>
      <c r="C67" s="25">
        <v>53823.222</v>
      </c>
      <c r="D67" s="25">
        <v>49195.58</v>
      </c>
      <c r="E67" s="20">
        <f t="shared" si="0"/>
        <v>82.56734471232589</v>
      </c>
      <c r="F67" s="20">
        <f t="shared" si="1"/>
        <v>91.40214608482562</v>
      </c>
    </row>
    <row r="68" spans="1:6" s="41" customFormat="1" ht="15">
      <c r="A68" s="40" t="s">
        <v>46</v>
      </c>
      <c r="B68" s="25">
        <f>40309.086+52354.389</f>
        <v>92663.475</v>
      </c>
      <c r="C68" s="25">
        <f>51554.389+34872.586</f>
        <v>86426.975</v>
      </c>
      <c r="D68" s="25">
        <v>57524.121</v>
      </c>
      <c r="E68" s="20">
        <f t="shared" si="0"/>
        <v>62.07852770468622</v>
      </c>
      <c r="F68" s="20">
        <f t="shared" si="1"/>
        <v>66.55806361381964</v>
      </c>
    </row>
    <row r="69" spans="1:6" s="41" customFormat="1" ht="57">
      <c r="A69" s="45" t="s">
        <v>54</v>
      </c>
      <c r="B69" s="22">
        <f>SUM(B70:B70)</f>
        <v>46206</v>
      </c>
      <c r="C69" s="22">
        <f>SUM(C70:C70)</f>
        <v>38889.075</v>
      </c>
      <c r="D69" s="22">
        <f>SUM(D70:D70)</f>
        <v>28258.6</v>
      </c>
      <c r="E69" s="19">
        <f t="shared" si="0"/>
        <v>61.15785828680258</v>
      </c>
      <c r="F69" s="19">
        <f t="shared" si="1"/>
        <v>72.66462367644384</v>
      </c>
    </row>
    <row r="70" spans="1:6" s="41" customFormat="1" ht="15">
      <c r="A70" s="40" t="s">
        <v>46</v>
      </c>
      <c r="B70" s="25">
        <v>46206</v>
      </c>
      <c r="C70" s="25">
        <f>26019.075+12870</f>
        <v>38889.075</v>
      </c>
      <c r="D70" s="25">
        <v>28258.6</v>
      </c>
      <c r="E70" s="20">
        <f t="shared" si="0"/>
        <v>61.15785828680258</v>
      </c>
      <c r="F70" s="20">
        <f t="shared" si="1"/>
        <v>72.66462367644384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6178.6759999999995</v>
      </c>
      <c r="D71" s="18">
        <f>SUM(D72)+D75</f>
        <v>3851.975</v>
      </c>
      <c r="E71" s="19">
        <f t="shared" si="0"/>
        <v>56.57430933952149</v>
      </c>
      <c r="F71" s="19">
        <f t="shared" si="1"/>
        <v>62.34304889914927</v>
      </c>
    </row>
    <row r="72" spans="1:6" s="41" customFormat="1" ht="15">
      <c r="A72" s="40" t="s">
        <v>48</v>
      </c>
      <c r="B72" s="25">
        <v>5036.657</v>
      </c>
      <c r="C72" s="25">
        <v>4406.633</v>
      </c>
      <c r="D72" s="25">
        <v>3851.975</v>
      </c>
      <c r="E72" s="20">
        <f>SUM(D72)/B72*100</f>
        <v>76.47880330147557</v>
      </c>
      <c r="F72" s="20">
        <f>SUM(D72)/C72*100</f>
        <v>87.41311109865514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SUM(B71)-B73</f>
        <v>6802.628000000001</v>
      </c>
      <c r="C74" s="11">
        <f>SUM(C71)-C73</f>
        <v>6174.004</v>
      </c>
      <c r="D74" s="11">
        <f>SUM(D71)-D73</f>
        <v>3850.485</v>
      </c>
      <c r="E74" s="20">
        <f aca="true" t="shared" si="2" ref="E74:E93">SUM(D74)/B74*100</f>
        <v>56.60290405413907</v>
      </c>
      <c r="F74" s="20">
        <f aca="true" t="shared" si="3" ref="F74:F92">SUM(D74)/C74*100</f>
        <v>62.36609176152138</v>
      </c>
    </row>
    <row r="75" spans="1:6" s="41" customFormat="1" ht="15">
      <c r="A75" s="40" t="s">
        <v>46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</row>
    <row r="76" spans="1:6" s="41" customFormat="1" ht="15">
      <c r="A76" s="44" t="s">
        <v>56</v>
      </c>
      <c r="B76" s="25">
        <v>2500</v>
      </c>
      <c r="C76" s="25">
        <v>1000</v>
      </c>
      <c r="D76" s="25"/>
      <c r="E76" s="19">
        <f t="shared" si="2"/>
        <v>0</v>
      </c>
      <c r="F76" s="19"/>
    </row>
    <row r="77" spans="1:6" s="41" customFormat="1" ht="15">
      <c r="A77" s="44" t="s">
        <v>57</v>
      </c>
      <c r="B77" s="25">
        <v>18418.4</v>
      </c>
      <c r="C77" s="25">
        <v>15348.8</v>
      </c>
      <c r="D77" s="25">
        <v>14325.6</v>
      </c>
      <c r="E77" s="19">
        <f t="shared" si="2"/>
        <v>77.7787429961343</v>
      </c>
      <c r="F77" s="19">
        <f t="shared" si="3"/>
        <v>93.33368080892318</v>
      </c>
    </row>
    <row r="78" spans="1:6" s="39" customFormat="1" ht="14.25">
      <c r="A78" s="37" t="s">
        <v>58</v>
      </c>
      <c r="B78" s="18">
        <f>SUM(B79)+B83</f>
        <v>11938.775</v>
      </c>
      <c r="C78" s="18">
        <f>SUM(C79)+C83</f>
        <v>11054.221</v>
      </c>
      <c r="D78" s="18">
        <f>SUM(D79)+D83</f>
        <v>6007.16957</v>
      </c>
      <c r="E78" s="19">
        <f t="shared" si="2"/>
        <v>50.31646521523356</v>
      </c>
      <c r="F78" s="19">
        <f t="shared" si="3"/>
        <v>54.34276707512904</v>
      </c>
    </row>
    <row r="79" spans="1:6" s="39" customFormat="1" ht="15">
      <c r="A79" s="40" t="s">
        <v>48</v>
      </c>
      <c r="B79" s="25">
        <f>8440.456-571.501+470.8+119</f>
        <v>8458.755</v>
      </c>
      <c r="C79" s="25">
        <f>3736.424+3837.777</f>
        <v>7574.201</v>
      </c>
      <c r="D79" s="25">
        <f>1673.88631+744.93026-565.125+618.093+746.943</f>
        <v>3218.72757</v>
      </c>
      <c r="E79" s="20">
        <f>SUM(D79)/B79*100</f>
        <v>38.0520250320526</v>
      </c>
      <c r="F79" s="20">
        <f>SUM(D79)/C79*100</f>
        <v>42.49593547887097</v>
      </c>
    </row>
    <row r="80" spans="1:6" s="41" customFormat="1" ht="15">
      <c r="A80" s="42" t="s">
        <v>40</v>
      </c>
      <c r="B80" s="11">
        <f>98.3+1977.142</f>
        <v>2075.442</v>
      </c>
      <c r="C80" s="11">
        <f>98.3+1968.388</f>
        <v>2066.688</v>
      </c>
      <c r="D80" s="11">
        <f>77.317+14.327+15.863</f>
        <v>107.50699999999999</v>
      </c>
      <c r="E80" s="20">
        <f t="shared" si="2"/>
        <v>5.179956847746166</v>
      </c>
      <c r="F80" s="20">
        <f t="shared" si="3"/>
        <v>5.201897915892481</v>
      </c>
    </row>
    <row r="81" spans="1:6" s="41" customFormat="1" ht="15">
      <c r="A81" s="42" t="s">
        <v>41</v>
      </c>
      <c r="B81" s="11">
        <f>33.7+716.409</f>
        <v>750.109</v>
      </c>
      <c r="C81" s="11">
        <f>33.7+713.371</f>
        <v>747.071</v>
      </c>
      <c r="D81" s="11">
        <f>26.829+4.971+5.507</f>
        <v>37.307</v>
      </c>
      <c r="E81" s="20">
        <f t="shared" si="2"/>
        <v>4.973543844961199</v>
      </c>
      <c r="F81" s="20">
        <f t="shared" si="3"/>
        <v>4.993768999198203</v>
      </c>
    </row>
    <row r="82" spans="1:6" s="41" customFormat="1" ht="15">
      <c r="A82" s="42" t="s">
        <v>45</v>
      </c>
      <c r="B82" s="11">
        <f>SUM(B79)-B80-B81</f>
        <v>5633.203999999999</v>
      </c>
      <c r="C82" s="11">
        <f>SUM(C79)-C80-C81</f>
        <v>4760.442</v>
      </c>
      <c r="D82" s="11">
        <f>SUM(D79)-D80-D81</f>
        <v>3073.91357</v>
      </c>
      <c r="E82" s="20">
        <f t="shared" si="2"/>
        <v>54.567765875334906</v>
      </c>
      <c r="F82" s="20">
        <f t="shared" si="3"/>
        <v>64.57202020316602</v>
      </c>
    </row>
    <row r="83" spans="1:6" s="41" customFormat="1" ht="15">
      <c r="A83" s="40" t="s">
        <v>46</v>
      </c>
      <c r="B83" s="25">
        <f>3330.394+149.626</f>
        <v>3480.02</v>
      </c>
      <c r="C83" s="25">
        <f>3090.394+389.626</f>
        <v>3480.0199999999995</v>
      </c>
      <c r="D83" s="25">
        <v>2788.442</v>
      </c>
      <c r="E83" s="20">
        <f t="shared" si="2"/>
        <v>80.12718317710818</v>
      </c>
      <c r="F83" s="20">
        <f t="shared" si="3"/>
        <v>80.12718317710818</v>
      </c>
    </row>
    <row r="84" spans="1:6" s="41" customFormat="1" ht="40.5">
      <c r="A84" s="46" t="s">
        <v>59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</row>
    <row r="85" spans="1:13" s="50" customFormat="1" ht="15.75">
      <c r="A85" s="47" t="s">
        <v>60</v>
      </c>
      <c r="B85" s="28">
        <f>B5+B14+B23+B36+B43+B50+B57+B64+B66+B69+B71+B76+B77+B78+B84</f>
        <v>2525195.803</v>
      </c>
      <c r="C85" s="28">
        <f>C5+C14+C23+C36+C43+C50+C57+C64+C66+C69+C71+C76+C77+C78+C84</f>
        <v>1999856.499</v>
      </c>
      <c r="D85" s="28">
        <f>D5+D14+D23+D36+D43+D50+D57+D64+D66+D69+D71+D76+D77+D78+D84</f>
        <v>1648958.3935700003</v>
      </c>
      <c r="E85" s="19">
        <f t="shared" si="2"/>
        <v>65.30021915967839</v>
      </c>
      <c r="F85" s="19">
        <f t="shared" si="3"/>
        <v>82.45383578244432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2091339.446</v>
      </c>
      <c r="C86" s="28">
        <f>C6+C15+C24+C37+C44+C51+C58+C67+C72+C79+C77</f>
        <v>1611850.2399999998</v>
      </c>
      <c r="D86" s="28">
        <f>D6+D15+D24+D37+D44+D51+D58+D67+D72+D79+D77</f>
        <v>1414737.6925700002</v>
      </c>
      <c r="E86" s="19">
        <f>SUM(D86)/B86*100</f>
        <v>67.64744457318481</v>
      </c>
      <c r="F86" s="19">
        <f>SUM(D86)/C86*100</f>
        <v>87.7710383670632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560005.7640000001</v>
      </c>
      <c r="C87" s="22">
        <f t="shared" si="4"/>
        <v>460592.25600000005</v>
      </c>
      <c r="D87" s="22">
        <f t="shared" si="4"/>
        <v>417355.05700000003</v>
      </c>
      <c r="E87" s="19">
        <f t="shared" si="2"/>
        <v>74.5269216550421</v>
      </c>
      <c r="F87" s="19">
        <f t="shared" si="3"/>
        <v>90.61269519042891</v>
      </c>
    </row>
    <row r="88" spans="1:6" ht="15">
      <c r="A88" s="51" t="s">
        <v>41</v>
      </c>
      <c r="B88" s="22">
        <f t="shared" si="4"/>
        <v>202792.33600000004</v>
      </c>
      <c r="C88" s="22">
        <f t="shared" si="4"/>
        <v>166972.37900000002</v>
      </c>
      <c r="D88" s="22">
        <f t="shared" si="4"/>
        <v>151166.843</v>
      </c>
      <c r="E88" s="19">
        <f t="shared" si="2"/>
        <v>74.54268044922564</v>
      </c>
      <c r="F88" s="19">
        <f t="shared" si="3"/>
        <v>90.5340415614489</v>
      </c>
    </row>
    <row r="89" spans="1:6" ht="15">
      <c r="A89" s="51" t="s">
        <v>61</v>
      </c>
      <c r="B89" s="22">
        <f>B73+B11+B20+B29+B40+B47+B54+B61</f>
        <v>138944.103</v>
      </c>
      <c r="C89" s="22">
        <f>C73+C11+C20+C29+C40+C47+C54+C61</f>
        <v>101790.824</v>
      </c>
      <c r="D89" s="22">
        <f>D73+D11+D20+D29+D40+D47+D54+D61</f>
        <v>74904.509</v>
      </c>
      <c r="E89" s="19">
        <f t="shared" si="2"/>
        <v>53.90981508585507</v>
      </c>
      <c r="F89" s="19">
        <f t="shared" si="3"/>
        <v>73.58670070300248</v>
      </c>
    </row>
    <row r="90" spans="1:6" ht="15">
      <c r="A90" s="51" t="s">
        <v>45</v>
      </c>
      <c r="B90" s="22">
        <f>B86-B87-B88-B89</f>
        <v>1189597.2429999998</v>
      </c>
      <c r="C90" s="22">
        <f>C86-C87-C88-C89</f>
        <v>882494.7809999997</v>
      </c>
      <c r="D90" s="22">
        <f>D86-D87-D88-D89</f>
        <v>771311.2835700002</v>
      </c>
      <c r="E90" s="19">
        <f t="shared" si="2"/>
        <v>64.83801875875736</v>
      </c>
      <c r="F90" s="19">
        <f t="shared" si="3"/>
        <v>87.4012288997322</v>
      </c>
    </row>
    <row r="91" spans="1:6" ht="15">
      <c r="A91" s="37" t="s">
        <v>46</v>
      </c>
      <c r="B91" s="18">
        <f>B13+B22+B42+B34+B56+B63+B65+B68+B70+B75+B83+B49</f>
        <v>413011.1280000001</v>
      </c>
      <c r="C91" s="18">
        <f>C13+C22+C42+C34+C56+C63+C65+C68+C70+C75+C83+C49</f>
        <v>368661.03</v>
      </c>
      <c r="D91" s="18">
        <f>D13+D22+D42+D34+D56+D63+D65+D68+D70+D75+D83+D49</f>
        <v>215923.17</v>
      </c>
      <c r="E91" s="19">
        <f t="shared" si="2"/>
        <v>52.28023057044603</v>
      </c>
      <c r="F91" s="19">
        <f t="shared" si="3"/>
        <v>58.569567279731196</v>
      </c>
    </row>
    <row r="92" spans="1:6" ht="15">
      <c r="A92" s="37" t="s">
        <v>62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28.5">
      <c r="A93" s="37" t="s">
        <v>63</v>
      </c>
      <c r="B93" s="18">
        <f>SUM(B76)</f>
        <v>2500</v>
      </c>
      <c r="C93" s="18">
        <f>SUM(C76)</f>
        <v>1000</v>
      </c>
      <c r="D93" s="18"/>
      <c r="E93" s="19">
        <f t="shared" si="2"/>
        <v>0</v>
      </c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2015-08-25T12:16:23Z</cp:lastPrinted>
  <dcterms:created xsi:type="dcterms:W3CDTF">2015-04-07T07:35:57Z</dcterms:created>
  <dcterms:modified xsi:type="dcterms:W3CDTF">2015-10-12T13:41:18Z</dcterms:modified>
  <cp:category/>
  <cp:version/>
  <cp:contentType/>
  <cp:contentStatus/>
</cp:coreProperties>
</file>