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<sst xmlns="http://schemas.openxmlformats.org/spreadsheetml/2006/main" count="184" uniqueCount="75">
  <si>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</si>
  <si>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</si>
  <si>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</si>
  <si>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</si>
  <si>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</si>
  <si>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</si>
  <si>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</si>
  <si>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</si>
  <si>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</si>
  <si>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</si>
  <si>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</si>
  <si>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</si>
  <si>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</si>
  <si>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</si>
  <si>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</si>
  <si>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</si>
  <si>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</si>
  <si>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</si>
  <si>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</si>
  <si>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</si>
  <si>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</si>
  <si>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</si>
  <si>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</si>
  <si>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</si>
  <si>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</si>
  <si>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</si>
  <si>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</si>
  <si>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</si>
  <si>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</si>
  <si>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</si>
  <si>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</si>
  <si>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</si>
  <si>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</si>
  <si>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</si>
  <si>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</si>
  <si>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</si>
  <si>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</si>
  <si>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</si>
  <si>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</si>
  <si>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</si>
  <si>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</si>
  <si>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</si>
  <si>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</si>
  <si>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</si>
  <si>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</si>
  <si>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</si>
  <si>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</si>
  <si>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</si>
  <si>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</si>
  <si>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</si>
  <si>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</si>
  <si>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</si>
  <si>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</si>
  <si>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</si>
  <si>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</si>
  <si>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</si>
  <si>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</si>
  <si>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</si>
  <si>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</si>
  <si>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</si>
  <si>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</si>
  <si>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</si>
  <si>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</si>
  <si>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</si>
  <si>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</si>
  <si>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</si>
  <si>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</si>
  <si>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</si>
  <si>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</si>
  <si>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</si>
  <si>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</si>
  <si>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січень-квітень, з урахуванням змін тис. грн.</t>
  </si>
  <si>
    <t xml:space="preserve">План на январь-апрель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</si>
  <si>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22 апреля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</si>
  <si>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22 апреля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</si>
</sst>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69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71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670317</v>
      </c>
      <c r="C5" s="18">
        <f>C6+C13</f>
        <v>220458.498</v>
      </c>
      <c r="D5" s="18">
        <f>D6+D13</f>
        <v>187296.712</v>
      </c>
      <c r="E5" s="19">
        <f aca="true" t="shared" si="0" ref="E5:E36">SUM(D5)/B5*100</f>
        <v>27.94151304532035</v>
      </c>
      <c r="F5" s="19">
        <f>SUM(D5)/C5*100</f>
        <v>84.95781006364291</v>
      </c>
    </row>
    <row r="6" spans="1:6" s="14" customFormat="1" ht="16.5" customHeight="1">
      <c r="A6" s="30" t="s">
        <v>32</v>
      </c>
      <c r="B6" s="25">
        <v>670202.6</v>
      </c>
      <c r="C6" s="25">
        <v>220344.098</v>
      </c>
      <c r="D6" s="25">
        <f>186909.371+387.341</f>
        <v>187296.712</v>
      </c>
      <c r="E6" s="20">
        <f t="shared" si="0"/>
        <v>27.94628251218363</v>
      </c>
      <c r="F6" s="20">
        <f>SUM(D6)/C6*100</f>
        <v>85.00191913467998</v>
      </c>
    </row>
    <row r="7" spans="1:6" s="3" customFormat="1" ht="14.25" customHeight="1">
      <c r="A7" s="12" t="s">
        <v>1</v>
      </c>
      <c r="B7" s="11">
        <v>393800.859</v>
      </c>
      <c r="C7" s="11">
        <v>120432.321</v>
      </c>
      <c r="D7" s="11">
        <v>103390.789</v>
      </c>
      <c r="E7" s="20">
        <f t="shared" si="0"/>
        <v>26.254586966251388</v>
      </c>
      <c r="F7" s="20">
        <f aca="true" t="shared" si="1" ref="F7:F73">SUM(D7)/C7*100</f>
        <v>85.8497022572537</v>
      </c>
    </row>
    <row r="8" spans="1:6" s="3" customFormat="1" ht="15">
      <c r="A8" s="12" t="s">
        <v>27</v>
      </c>
      <c r="B8" s="11">
        <v>86636.189</v>
      </c>
      <c r="C8" s="11">
        <v>26791.946</v>
      </c>
      <c r="D8" s="11">
        <v>23019.815</v>
      </c>
      <c r="E8" s="20">
        <f t="shared" si="0"/>
        <v>26.570668984527927</v>
      </c>
      <c r="F8" s="20">
        <f t="shared" si="1"/>
        <v>85.92065316942636</v>
      </c>
    </row>
    <row r="9" spans="1:6" s="3" customFormat="1" ht="15">
      <c r="A9" s="12" t="s">
        <v>4</v>
      </c>
      <c r="B9" s="11">
        <v>153.271</v>
      </c>
      <c r="C9" s="11">
        <v>9.979</v>
      </c>
      <c r="D9" s="11">
        <v>6.623</v>
      </c>
      <c r="E9" s="20">
        <f t="shared" si="0"/>
        <v>4.321104448982522</v>
      </c>
      <c r="F9" s="20"/>
    </row>
    <row r="10" spans="1:6" s="3" customFormat="1" ht="15">
      <c r="A10" s="12" t="s">
        <v>5</v>
      </c>
      <c r="B10" s="11">
        <v>47670.978</v>
      </c>
      <c r="C10" s="11">
        <v>12786.281</v>
      </c>
      <c r="D10" s="11">
        <f>11745.333+65.422</f>
        <v>11810.755000000001</v>
      </c>
      <c r="E10" s="20">
        <f t="shared" si="0"/>
        <v>24.775566802929866</v>
      </c>
      <c r="F10" s="20">
        <f t="shared" si="1"/>
        <v>92.37052587847866</v>
      </c>
    </row>
    <row r="11" spans="1:6" s="3" customFormat="1" ht="15">
      <c r="A11" s="12" t="s">
        <v>29</v>
      </c>
      <c r="B11" s="11">
        <v>92734.871</v>
      </c>
      <c r="C11" s="11">
        <v>44396.49</v>
      </c>
      <c r="D11" s="11">
        <f>38967.452+168.363</f>
        <v>39135.814999999995</v>
      </c>
      <c r="E11" s="20">
        <f t="shared" si="0"/>
        <v>42.201832577089576</v>
      </c>
      <c r="F11" s="20">
        <f t="shared" si="1"/>
        <v>88.15069614737561</v>
      </c>
    </row>
    <row r="12" spans="1:6" s="3" customFormat="1" ht="15">
      <c r="A12" s="12" t="s">
        <v>13</v>
      </c>
      <c r="B12" s="11">
        <f>SUM(B6)-B7-B8-B9-B10-B11</f>
        <v>49206.43199999996</v>
      </c>
      <c r="C12" s="11">
        <f>SUM(C6)-C7-C8-C9-C10-C11</f>
        <v>15927.080999999998</v>
      </c>
      <c r="D12" s="11">
        <f>SUM(D6)-D7-D8-D9-D10-D11</f>
        <v>9932.915</v>
      </c>
      <c r="E12" s="20">
        <f t="shared" si="0"/>
        <v>20.186212647972546</v>
      </c>
      <c r="F12" s="20">
        <f t="shared" si="1"/>
        <v>62.364943080279446</v>
      </c>
    </row>
    <row r="13" spans="1:6" s="3" customFormat="1" ht="15">
      <c r="A13" s="30" t="s">
        <v>14</v>
      </c>
      <c r="B13" s="25">
        <v>114.4</v>
      </c>
      <c r="C13" s="25">
        <v>114.4</v>
      </c>
      <c r="D13" s="25"/>
      <c r="E13" s="20">
        <f t="shared" si="0"/>
        <v>0</v>
      </c>
      <c r="F13" s="20">
        <f t="shared" si="1"/>
        <v>0</v>
      </c>
    </row>
    <row r="14" spans="1:6" s="2" customFormat="1" ht="14.25">
      <c r="A14" s="17" t="s">
        <v>6</v>
      </c>
      <c r="B14" s="18">
        <f>B15+B22</f>
        <v>369316.326</v>
      </c>
      <c r="C14" s="18">
        <f>C15+C22</f>
        <v>120387.28</v>
      </c>
      <c r="D14" s="18">
        <f>D15+D22</f>
        <v>109295.42599999999</v>
      </c>
      <c r="E14" s="19">
        <f t="shared" si="0"/>
        <v>29.593987133945436</v>
      </c>
      <c r="F14" s="19">
        <f t="shared" si="1"/>
        <v>90.78652329382307</v>
      </c>
    </row>
    <row r="15" spans="1:6" s="14" customFormat="1" ht="15">
      <c r="A15" s="30" t="s">
        <v>31</v>
      </c>
      <c r="B15" s="25">
        <f>343920.326+25271</f>
        <v>369191.326</v>
      </c>
      <c r="C15" s="25">
        <f>111865.68+8396.6</f>
        <v>120262.28</v>
      </c>
      <c r="D15" s="25">
        <f>89110.943+12842.533+7341.95</f>
        <v>109295.42599999999</v>
      </c>
      <c r="E15" s="20">
        <f t="shared" si="0"/>
        <v>29.60400700204966</v>
      </c>
      <c r="F15" s="20">
        <f>SUM(D15)/C15*100</f>
        <v>90.88088634275019</v>
      </c>
    </row>
    <row r="16" spans="1:6" s="3" customFormat="1" ht="15">
      <c r="A16" s="12" t="s">
        <v>1</v>
      </c>
      <c r="B16" s="11">
        <v>221602.052</v>
      </c>
      <c r="C16" s="11">
        <v>67662.832</v>
      </c>
      <c r="D16" s="11">
        <f>55037.728+9707.411</f>
        <v>64745.139</v>
      </c>
      <c r="E16" s="20">
        <f t="shared" si="0"/>
        <v>29.216849941443684</v>
      </c>
      <c r="F16" s="20">
        <f t="shared" si="1"/>
        <v>95.68789405681395</v>
      </c>
    </row>
    <row r="17" spans="1:6" s="3" customFormat="1" ht="15">
      <c r="A17" s="12" t="s">
        <v>27</v>
      </c>
      <c r="B17" s="11">
        <v>48752.452</v>
      </c>
      <c r="C17" s="11">
        <v>14835.122</v>
      </c>
      <c r="D17" s="11">
        <f>11955.541+2135.32</f>
        <v>14090.860999999999</v>
      </c>
      <c r="E17" s="20">
        <f t="shared" si="0"/>
        <v>28.902876515831448</v>
      </c>
      <c r="F17" s="20">
        <f t="shared" si="1"/>
        <v>94.98311506976485</v>
      </c>
    </row>
    <row r="18" spans="1:6" s="3" customFormat="1" ht="15">
      <c r="A18" s="12" t="s">
        <v>4</v>
      </c>
      <c r="B18" s="11">
        <v>15177.439</v>
      </c>
      <c r="C18" s="11">
        <v>4693.495</v>
      </c>
      <c r="D18" s="11">
        <f>3853.354+66.374</f>
        <v>3919.7279999999996</v>
      </c>
      <c r="E18" s="20">
        <f t="shared" si="0"/>
        <v>25.826017156122315</v>
      </c>
      <c r="F18" s="20">
        <f t="shared" si="1"/>
        <v>83.5140550911421</v>
      </c>
    </row>
    <row r="19" spans="1:6" s="3" customFormat="1" ht="15">
      <c r="A19" s="12" t="s">
        <v>5</v>
      </c>
      <c r="B19" s="11">
        <v>6270.712</v>
      </c>
      <c r="C19" s="11">
        <v>2319.402</v>
      </c>
      <c r="D19" s="11">
        <f>1556.058+129.311</f>
        <v>1685.369</v>
      </c>
      <c r="E19" s="20">
        <f t="shared" si="0"/>
        <v>26.876836314600318</v>
      </c>
      <c r="F19" s="20">
        <f t="shared" si="1"/>
        <v>72.66394527554947</v>
      </c>
    </row>
    <row r="20" spans="1:6" s="3" customFormat="1" ht="15">
      <c r="A20" s="12" t="s">
        <v>29</v>
      </c>
      <c r="B20" s="11">
        <v>35747.327</v>
      </c>
      <c r="C20" s="11">
        <v>16394.072</v>
      </c>
      <c r="D20" s="11">
        <f>12956.146+547.44</f>
        <v>13503.586000000001</v>
      </c>
      <c r="E20" s="20">
        <f t="shared" si="0"/>
        <v>37.775092946110355</v>
      </c>
      <c r="F20" s="20">
        <f t="shared" si="1"/>
        <v>82.36871230039738</v>
      </c>
    </row>
    <row r="21" spans="1:6" s="3" customFormat="1" ht="15">
      <c r="A21" s="51" t="s">
        <v>13</v>
      </c>
      <c r="B21" s="11">
        <f>SUM(B15)-B16-B17-B18-B19-B20</f>
        <v>41641.34400000002</v>
      </c>
      <c r="C21" s="11">
        <f>SUM(C15)-C16-C17-C18-C19-C20</f>
        <v>14357.356999999996</v>
      </c>
      <c r="D21" s="11">
        <f>SUM(D15)-D16-D17-D18-D19-D20</f>
        <v>11350.742999999993</v>
      </c>
      <c r="E21" s="20">
        <f t="shared" si="0"/>
        <v>27.258349298235878</v>
      </c>
      <c r="F21" s="20">
        <f t="shared" si="1"/>
        <v>79.05872229826142</v>
      </c>
    </row>
    <row r="22" spans="1:6" s="3" customFormat="1" ht="15">
      <c r="A22" s="52" t="s">
        <v>14</v>
      </c>
      <c r="B22" s="25">
        <v>125</v>
      </c>
      <c r="C22" s="25">
        <v>125</v>
      </c>
      <c r="D22" s="25"/>
      <c r="E22" s="20">
        <f t="shared" si="0"/>
        <v>0</v>
      </c>
      <c r="F22" s="20">
        <f t="shared" si="1"/>
        <v>0</v>
      </c>
    </row>
    <row r="23" spans="1:6" s="2" customFormat="1" ht="28.5">
      <c r="A23" s="17" t="s">
        <v>26</v>
      </c>
      <c r="B23" s="18">
        <f>B24+B34</f>
        <v>694397.077</v>
      </c>
      <c r="C23" s="18">
        <f>C24+C34</f>
        <v>296854.016</v>
      </c>
      <c r="D23" s="18">
        <f>D24+D34</f>
        <v>248363.427</v>
      </c>
      <c r="E23" s="19">
        <f t="shared" si="0"/>
        <v>35.76677310811894</v>
      </c>
      <c r="F23" s="19">
        <f t="shared" si="1"/>
        <v>83.66517332209511</v>
      </c>
    </row>
    <row r="24" spans="1:6" s="14" customFormat="1" ht="15">
      <c r="A24" s="30" t="s">
        <v>31</v>
      </c>
      <c r="B24" s="25">
        <v>694397.077</v>
      </c>
      <c r="C24" s="25">
        <v>296854.016</v>
      </c>
      <c r="D24" s="25">
        <f>248226.441+136.986</f>
        <v>248363.427</v>
      </c>
      <c r="E24" s="20">
        <f t="shared" si="0"/>
        <v>35.76677310811894</v>
      </c>
      <c r="F24" s="20">
        <f>SUM(D24)/C24*100</f>
        <v>83.66517332209511</v>
      </c>
    </row>
    <row r="25" spans="1:6" s="3" customFormat="1" ht="15">
      <c r="A25" s="12" t="s">
        <v>1</v>
      </c>
      <c r="B25" s="11">
        <f>14660.587+636.762</f>
        <v>15297.349</v>
      </c>
      <c r="C25" s="11">
        <v>4759.836</v>
      </c>
      <c r="D25" s="11">
        <f>3946.456+94.44</f>
        <v>4040.896</v>
      </c>
      <c r="E25" s="20">
        <f t="shared" si="0"/>
        <v>26.41566195554537</v>
      </c>
      <c r="F25" s="20">
        <f t="shared" si="1"/>
        <v>84.89569808707695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v>1039.276</v>
      </c>
      <c r="D26" s="11">
        <v>880.041</v>
      </c>
      <c r="E26" s="20">
        <f t="shared" si="0"/>
        <v>26.22207032669986</v>
      </c>
      <c r="F26" s="20">
        <f t="shared" si="1"/>
        <v>84.67827603062132</v>
      </c>
    </row>
    <row r="27" spans="1:6" s="3" customFormat="1" ht="15">
      <c r="A27" s="12" t="s">
        <v>4</v>
      </c>
      <c r="B27" s="11">
        <v>72.57</v>
      </c>
      <c r="C27" s="11">
        <v>17.2</v>
      </c>
      <c r="D27" s="11">
        <v>17.2</v>
      </c>
      <c r="E27" s="20">
        <f t="shared" si="0"/>
        <v>23.701253961692164</v>
      </c>
      <c r="F27" s="20">
        <f t="shared" si="1"/>
        <v>100</v>
      </c>
    </row>
    <row r="28" spans="1:6" s="3" customFormat="1" ht="15">
      <c r="A28" s="12" t="s">
        <v>5</v>
      </c>
      <c r="B28" s="11">
        <v>259.017</v>
      </c>
      <c r="C28" s="11">
        <v>77.325</v>
      </c>
      <c r="D28" s="11">
        <v>76.541</v>
      </c>
      <c r="E28" s="20">
        <f t="shared" si="0"/>
        <v>29.550570039804334</v>
      </c>
      <c r="F28" s="20">
        <f t="shared" si="1"/>
        <v>98.98609763983187</v>
      </c>
    </row>
    <row r="29" spans="1:6" s="3" customFormat="1" ht="15">
      <c r="A29" s="12" t="s">
        <v>29</v>
      </c>
      <c r="B29" s="11">
        <v>1309.543</v>
      </c>
      <c r="C29" s="11">
        <v>712.001</v>
      </c>
      <c r="D29" s="11">
        <v>521.891</v>
      </c>
      <c r="E29" s="20">
        <f t="shared" si="0"/>
        <v>39.852910519165846</v>
      </c>
      <c r="F29" s="20">
        <f t="shared" si="1"/>
        <v>73.29919480450168</v>
      </c>
    </row>
    <row r="30" spans="1:6" s="3" customFormat="1" ht="15">
      <c r="A30" s="12" t="s">
        <v>13</v>
      </c>
      <c r="B30" s="11">
        <f>SUM(B24)-B25-B26-B27-B28-B29</f>
        <v>674102.4900000001</v>
      </c>
      <c r="C30" s="11">
        <f>SUM(C24)-C25-C26-C27-C28-C29</f>
        <v>290248.37799999997</v>
      </c>
      <c r="D30" s="11">
        <f>SUM(D24)-D25-D26-D27-D28-D29</f>
        <v>242826.85799999998</v>
      </c>
      <c r="E30" s="20">
        <f t="shared" si="0"/>
        <v>36.02224611275356</v>
      </c>
      <c r="F30" s="20">
        <f t="shared" si="1"/>
        <v>83.6617450451351</v>
      </c>
    </row>
    <row r="31" spans="1:6" s="3" customFormat="1" ht="15">
      <c r="A31" s="12" t="s">
        <v>18</v>
      </c>
      <c r="B31" s="11">
        <f>SUM(B32:B33)</f>
        <v>639599.8</v>
      </c>
      <c r="C31" s="11">
        <f>SUM(C32:C33)</f>
        <v>275922.767</v>
      </c>
      <c r="D31" s="11">
        <f>SUM(D32:D33)</f>
        <v>237394.23099999997</v>
      </c>
      <c r="E31" s="20">
        <f t="shared" si="0"/>
        <v>37.116057728598406</v>
      </c>
      <c r="F31" s="20">
        <f>SUM(D31)/C31*100</f>
        <v>86.0364780989602</v>
      </c>
    </row>
    <row r="32" spans="1:6" s="3" customFormat="1" ht="30">
      <c r="A32" s="13" t="s">
        <v>22</v>
      </c>
      <c r="B32" s="11">
        <v>424514.7</v>
      </c>
      <c r="C32" s="11">
        <v>136255.808</v>
      </c>
      <c r="D32" s="67">
        <v>136255.808</v>
      </c>
      <c r="E32" s="20">
        <f t="shared" si="0"/>
        <v>32.09684093389463</v>
      </c>
      <c r="F32" s="20">
        <f>SUM(D32)/C32*100</f>
        <v>100</v>
      </c>
    </row>
    <row r="33" spans="1:6" s="3" customFormat="1" ht="15">
      <c r="A33" s="13" t="s">
        <v>19</v>
      </c>
      <c r="B33" s="11">
        <v>215085.1</v>
      </c>
      <c r="C33" s="11">
        <v>139666.959</v>
      </c>
      <c r="D33" s="11">
        <v>101138.423</v>
      </c>
      <c r="E33" s="20">
        <f t="shared" si="0"/>
        <v>47.02251480925457</v>
      </c>
      <c r="F33" s="20">
        <f>SUM(D33)/C33*100</f>
        <v>72.41399377786982</v>
      </c>
    </row>
    <row r="34" spans="1:6" s="3" customFormat="1" ht="15">
      <c r="A34" s="30" t="s">
        <v>14</v>
      </c>
      <c r="B34" s="25">
        <v>0</v>
      </c>
      <c r="C34" s="25">
        <v>0</v>
      </c>
      <c r="D34" s="25">
        <v>0</v>
      </c>
      <c r="E34" s="20" t="e">
        <f t="shared" si="0"/>
        <v>#DIV/0!</v>
      </c>
      <c r="F34" s="20" t="e">
        <f>SUM(D34)/C34*100</f>
        <v>#DIV/0!</v>
      </c>
    </row>
    <row r="35" spans="1:6" s="2" customFormat="1" ht="14.25">
      <c r="A35" s="17" t="s">
        <v>7</v>
      </c>
      <c r="B35" s="18">
        <f>B36+B41</f>
        <v>87726.2</v>
      </c>
      <c r="C35" s="18">
        <f>C36+C41</f>
        <v>28782.564000000002</v>
      </c>
      <c r="D35" s="18">
        <f>D36+D41</f>
        <v>22376.606</v>
      </c>
      <c r="E35" s="19">
        <f t="shared" si="0"/>
        <v>25.507323923753678</v>
      </c>
      <c r="F35" s="19">
        <f>SUM(D35)/C35*100</f>
        <v>77.74361589189898</v>
      </c>
    </row>
    <row r="36" spans="1:6" s="14" customFormat="1" ht="15">
      <c r="A36" s="30" t="s">
        <v>31</v>
      </c>
      <c r="B36" s="25">
        <v>87280</v>
      </c>
      <c r="C36" s="25">
        <v>28336.364</v>
      </c>
      <c r="D36" s="25">
        <f>22158.64+217.966</f>
        <v>22376.606</v>
      </c>
      <c r="E36" s="20">
        <f t="shared" si="0"/>
        <v>25.637724564619614</v>
      </c>
      <c r="F36" s="20">
        <f t="shared" si="1"/>
        <v>78.96780970204928</v>
      </c>
    </row>
    <row r="37" spans="1:6" s="3" customFormat="1" ht="15">
      <c r="A37" s="12" t="s">
        <v>1</v>
      </c>
      <c r="B37" s="11">
        <v>40460.715</v>
      </c>
      <c r="C37" s="11">
        <v>11838.132</v>
      </c>
      <c r="D37" s="11">
        <v>9945.617</v>
      </c>
      <c r="E37" s="20">
        <f aca="true" t="shared" si="2" ref="E37:E68">SUM(D37)/B37*100</f>
        <v>24.580922507177643</v>
      </c>
      <c r="F37" s="20">
        <f>SUM(D37)/C37*100</f>
        <v>84.01339839765261</v>
      </c>
    </row>
    <row r="38" spans="1:6" s="3" customFormat="1" ht="15">
      <c r="A38" s="12" t="s">
        <v>27</v>
      </c>
      <c r="B38" s="11">
        <v>8901.357</v>
      </c>
      <c r="C38" s="11">
        <v>2630.284</v>
      </c>
      <c r="D38" s="11">
        <v>2198.003</v>
      </c>
      <c r="E38" s="20">
        <f t="shared" si="2"/>
        <v>24.69289794803197</v>
      </c>
      <c r="F38" s="20">
        <f t="shared" si="1"/>
        <v>83.5652347807309</v>
      </c>
    </row>
    <row r="39" spans="1:6" s="3" customFormat="1" ht="15">
      <c r="A39" s="12" t="s">
        <v>29</v>
      </c>
      <c r="B39" s="11">
        <v>6464.382</v>
      </c>
      <c r="C39" s="11">
        <v>3236.03</v>
      </c>
      <c r="D39" s="11">
        <f>2696.887+98.501</f>
        <v>2795.3880000000004</v>
      </c>
      <c r="E39" s="20">
        <f t="shared" si="2"/>
        <v>43.24292716612354</v>
      </c>
      <c r="F39" s="20">
        <f t="shared" si="1"/>
        <v>86.3832535545097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10631.918000000003</v>
      </c>
      <c r="D40" s="11">
        <f>SUM(D36)-D37-D38-D39</f>
        <v>7437.597999999998</v>
      </c>
      <c r="E40" s="20">
        <f t="shared" si="2"/>
        <v>23.646294125311016</v>
      </c>
      <c r="F40" s="20">
        <f t="shared" si="1"/>
        <v>69.95537399742922</v>
      </c>
    </row>
    <row r="41" spans="1:6" s="3" customFormat="1" ht="15">
      <c r="A41" s="30" t="s">
        <v>14</v>
      </c>
      <c r="B41" s="25">
        <v>446.2</v>
      </c>
      <c r="C41" s="25">
        <v>446.2</v>
      </c>
      <c r="D41" s="25"/>
      <c r="E41" s="20">
        <f t="shared" si="2"/>
        <v>0</v>
      </c>
      <c r="F41" s="20">
        <f t="shared" si="1"/>
        <v>0</v>
      </c>
    </row>
    <row r="42" spans="1:6" s="2" customFormat="1" ht="14.25">
      <c r="A42" s="17" t="s">
        <v>8</v>
      </c>
      <c r="B42" s="18">
        <f>B43+B48</f>
        <v>51915.463</v>
      </c>
      <c r="C42" s="18">
        <f>C43+C48</f>
        <v>18156.686</v>
      </c>
      <c r="D42" s="18">
        <f>D43+D48</f>
        <v>13053.431999999999</v>
      </c>
      <c r="E42" s="19">
        <f t="shared" si="2"/>
        <v>25.143630135784395</v>
      </c>
      <c r="F42" s="19">
        <f t="shared" si="1"/>
        <v>71.89325188528346</v>
      </c>
    </row>
    <row r="43" spans="1:6" s="14" customFormat="1" ht="15">
      <c r="A43" s="30" t="s">
        <v>31</v>
      </c>
      <c r="B43" s="25">
        <v>51900</v>
      </c>
      <c r="C43" s="25">
        <v>18141.223</v>
      </c>
      <c r="D43" s="25">
        <f>12873.023+180.409</f>
        <v>13053.431999999999</v>
      </c>
      <c r="E43" s="20">
        <f t="shared" si="2"/>
        <v>25.151121387283236</v>
      </c>
      <c r="F43" s="20">
        <f t="shared" si="1"/>
        <v>71.95453140066685</v>
      </c>
    </row>
    <row r="44" spans="1:6" s="3" customFormat="1" ht="15">
      <c r="A44" s="12" t="s">
        <v>1</v>
      </c>
      <c r="B44" s="11">
        <v>24685.189</v>
      </c>
      <c r="C44" s="11">
        <v>7489.884</v>
      </c>
      <c r="D44" s="11">
        <f>6339.649+99.854</f>
        <v>6439.503000000001</v>
      </c>
      <c r="E44" s="20">
        <f t="shared" si="2"/>
        <v>26.086504745821475</v>
      </c>
      <c r="F44" s="20">
        <f>SUM(D44)/C44*100</f>
        <v>85.97600443478164</v>
      </c>
    </row>
    <row r="45" spans="1:6" s="3" customFormat="1" ht="15">
      <c r="A45" s="12" t="s">
        <v>27</v>
      </c>
      <c r="B45" s="11">
        <v>5430.741</v>
      </c>
      <c r="C45" s="11">
        <v>1648.118</v>
      </c>
      <c r="D45" s="11">
        <f>1394.955+23.973</f>
        <v>1418.9279999999999</v>
      </c>
      <c r="E45" s="20">
        <f t="shared" si="2"/>
        <v>26.12770522475662</v>
      </c>
      <c r="F45" s="20">
        <f t="shared" si="1"/>
        <v>86.09383551420468</v>
      </c>
    </row>
    <row r="46" spans="1:6" s="3" customFormat="1" ht="15">
      <c r="A46" s="12" t="s">
        <v>29</v>
      </c>
      <c r="B46" s="11">
        <v>4194.121</v>
      </c>
      <c r="C46" s="11">
        <v>2127.343</v>
      </c>
      <c r="D46" s="11">
        <f>1431.845+16.524</f>
        <v>1448.3690000000001</v>
      </c>
      <c r="E46" s="20">
        <f t="shared" si="2"/>
        <v>34.533314608710626</v>
      </c>
      <c r="F46" s="20">
        <f t="shared" si="1"/>
        <v>68.0834731399685</v>
      </c>
    </row>
    <row r="47" spans="1:6" s="3" customFormat="1" ht="15">
      <c r="A47" s="12" t="s">
        <v>13</v>
      </c>
      <c r="B47" s="11">
        <f>SUM(B43)-B44-B45-B46</f>
        <v>17589.949</v>
      </c>
      <c r="C47" s="11">
        <f>SUM(C43)-C44-C45-C46</f>
        <v>6875.8780000000015</v>
      </c>
      <c r="D47" s="11">
        <f>SUM(D43)-D44-D45-D46</f>
        <v>3746.6319999999982</v>
      </c>
      <c r="E47" s="20">
        <f t="shared" si="2"/>
        <v>21.29984572439635</v>
      </c>
      <c r="F47" s="20">
        <f t="shared" si="1"/>
        <v>54.48950664918717</v>
      </c>
    </row>
    <row r="48" spans="1:6" s="3" customFormat="1" ht="15">
      <c r="A48" s="30" t="s">
        <v>14</v>
      </c>
      <c r="B48" s="25">
        <v>15.463</v>
      </c>
      <c r="C48" s="25">
        <v>15.463</v>
      </c>
      <c r="D48" s="25"/>
      <c r="E48" s="20">
        <f t="shared" si="2"/>
        <v>0</v>
      </c>
      <c r="F48" s="20">
        <f t="shared" si="1"/>
        <v>0</v>
      </c>
    </row>
    <row r="49" spans="1:6" s="3" customFormat="1" ht="14.25">
      <c r="A49" s="17" t="s">
        <v>0</v>
      </c>
      <c r="B49" s="18">
        <f>B50+B55</f>
        <v>89069.31</v>
      </c>
      <c r="C49" s="18">
        <f>C50+C55</f>
        <v>25452.115</v>
      </c>
      <c r="D49" s="18">
        <f>D50+D55</f>
        <v>20379.763</v>
      </c>
      <c r="E49" s="19">
        <f t="shared" si="2"/>
        <v>22.88079137471706</v>
      </c>
      <c r="F49" s="19">
        <f t="shared" si="1"/>
        <v>80.07099999351723</v>
      </c>
    </row>
    <row r="50" spans="1:6" s="3" customFormat="1" ht="15">
      <c r="A50" s="30" t="s">
        <v>31</v>
      </c>
      <c r="B50" s="25">
        <v>82568.01</v>
      </c>
      <c r="C50" s="25">
        <v>25452.115</v>
      </c>
      <c r="D50" s="25">
        <v>20379.763</v>
      </c>
      <c r="E50" s="20">
        <f t="shared" si="2"/>
        <v>24.682395760779507</v>
      </c>
      <c r="F50" s="20">
        <f t="shared" si="1"/>
        <v>80.07099999351723</v>
      </c>
    </row>
    <row r="51" spans="1:6" s="3" customFormat="1" ht="15">
      <c r="A51" s="12" t="s">
        <v>1</v>
      </c>
      <c r="B51" s="11">
        <v>50916.2</v>
      </c>
      <c r="C51" s="11">
        <v>14916.42</v>
      </c>
      <c r="D51" s="11">
        <v>12860.234</v>
      </c>
      <c r="E51" s="20">
        <f t="shared" si="2"/>
        <v>25.257646878596596</v>
      </c>
      <c r="F51" s="20">
        <f>SUM(D51)/C51*100</f>
        <v>86.2152849008006</v>
      </c>
    </row>
    <row r="52" spans="1:6" s="3" customFormat="1" ht="15">
      <c r="A52" s="12" t="s">
        <v>27</v>
      </c>
      <c r="B52" s="11">
        <v>11270.743</v>
      </c>
      <c r="C52" s="11">
        <v>3307.972</v>
      </c>
      <c r="D52" s="11">
        <v>2827.252</v>
      </c>
      <c r="E52" s="20">
        <f t="shared" si="2"/>
        <v>25.084876835537816</v>
      </c>
      <c r="F52" s="20">
        <f t="shared" si="1"/>
        <v>85.46783346412847</v>
      </c>
    </row>
    <row r="53" spans="1:6" s="3" customFormat="1" ht="15">
      <c r="A53" s="12" t="s">
        <v>29</v>
      </c>
      <c r="B53" s="11">
        <v>4798.274</v>
      </c>
      <c r="C53" s="11">
        <v>2400.495</v>
      </c>
      <c r="D53" s="11">
        <v>1933.927</v>
      </c>
      <c r="E53" s="20">
        <f t="shared" si="2"/>
        <v>40.30463870966935</v>
      </c>
      <c r="F53" s="20">
        <f t="shared" si="1"/>
        <v>80.56367540861365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4827.228000000002</v>
      </c>
      <c r="D54" s="11">
        <f>SUM(D50)-D51-D52-D53</f>
        <v>2758.3499999999985</v>
      </c>
      <c r="E54" s="20">
        <f t="shared" si="2"/>
        <v>17.701255480965443</v>
      </c>
      <c r="F54" s="20">
        <f t="shared" si="1"/>
        <v>57.141489898550425</v>
      </c>
    </row>
    <row r="55" spans="1:6" s="3" customFormat="1" ht="15">
      <c r="A55" s="30" t="s">
        <v>14</v>
      </c>
      <c r="B55" s="25">
        <v>6501.3</v>
      </c>
      <c r="C55" s="25"/>
      <c r="D55" s="25"/>
      <c r="E55" s="20">
        <f t="shared" si="2"/>
        <v>0</v>
      </c>
      <c r="F55" s="20" t="e">
        <f t="shared" si="1"/>
        <v>#DIV/0!</v>
      </c>
    </row>
    <row r="56" spans="1:6" s="3" customFormat="1" ht="14.25" customHeight="1">
      <c r="A56" s="21" t="s">
        <v>9</v>
      </c>
      <c r="B56" s="22">
        <f>B57+B60</f>
        <v>184219.877</v>
      </c>
      <c r="C56" s="22">
        <f>C57+C60</f>
        <v>58699.325</v>
      </c>
      <c r="D56" s="22">
        <f>D57+D60</f>
        <v>26225.657</v>
      </c>
      <c r="E56" s="19">
        <f t="shared" si="2"/>
        <v>14.236062593831825</v>
      </c>
      <c r="F56" s="19">
        <f t="shared" si="1"/>
        <v>44.677953281404854</v>
      </c>
    </row>
    <row r="57" spans="1:6" s="3" customFormat="1" ht="14.25" customHeight="1">
      <c r="A57" s="30" t="s">
        <v>31</v>
      </c>
      <c r="B57" s="25">
        <v>179219.877</v>
      </c>
      <c r="C57" s="25">
        <v>53699.325</v>
      </c>
      <c r="D57" s="25">
        <f>25915.942+96.333</f>
        <v>26012.274999999998</v>
      </c>
      <c r="E57" s="20">
        <f t="shared" si="2"/>
        <v>14.514168537232061</v>
      </c>
      <c r="F57" s="20">
        <f t="shared" si="1"/>
        <v>48.44059957923121</v>
      </c>
    </row>
    <row r="58" spans="1:6" s="3" customFormat="1" ht="15">
      <c r="A58" s="12" t="s">
        <v>29</v>
      </c>
      <c r="B58" s="11">
        <v>20033.7</v>
      </c>
      <c r="C58" s="11">
        <v>6676.392</v>
      </c>
      <c r="D58" s="11">
        <v>6448.894</v>
      </c>
      <c r="E58" s="20">
        <f t="shared" si="2"/>
        <v>32.19022946335425</v>
      </c>
      <c r="F58" s="20">
        <f>SUM(D58)/C58*100</f>
        <v>96.59250085974581</v>
      </c>
    </row>
    <row r="59" spans="1:6" s="3" customFormat="1" ht="15">
      <c r="A59" s="12" t="s">
        <v>13</v>
      </c>
      <c r="B59" s="11">
        <f>SUM(B57)-B58</f>
        <v>159186.177</v>
      </c>
      <c r="C59" s="11">
        <f>SUM(C57)-C58</f>
        <v>47022.933</v>
      </c>
      <c r="D59" s="11">
        <f>SUM(D57)-D58</f>
        <v>19563.380999999998</v>
      </c>
      <c r="E59" s="20">
        <f t="shared" si="2"/>
        <v>12.289622986548636</v>
      </c>
      <c r="F59" s="20">
        <f t="shared" si="1"/>
        <v>41.60391483874474</v>
      </c>
    </row>
    <row r="60" spans="1:6" s="3" customFormat="1" ht="15">
      <c r="A60" s="30" t="s">
        <v>14</v>
      </c>
      <c r="B60" s="25">
        <f>2465+2535</f>
        <v>5000</v>
      </c>
      <c r="C60" s="25">
        <f>2465+2500+35</f>
        <v>5000</v>
      </c>
      <c r="D60" s="25">
        <v>213.382</v>
      </c>
      <c r="E60" s="20">
        <f t="shared" si="2"/>
        <v>4.26764</v>
      </c>
      <c r="F60" s="20">
        <f t="shared" si="1"/>
        <v>4.26764</v>
      </c>
    </row>
    <row r="61" spans="1:6" s="3" customFormat="1" ht="17.25" customHeight="1">
      <c r="A61" s="21" t="s">
        <v>21</v>
      </c>
      <c r="B61" s="22">
        <f>SUM(B62)</f>
        <v>438016.329</v>
      </c>
      <c r="C61" s="22">
        <f>SUM(C62)</f>
        <v>20000</v>
      </c>
      <c r="D61" s="22">
        <f>SUM(D62)</f>
        <v>0</v>
      </c>
      <c r="E61" s="20">
        <f t="shared" si="2"/>
        <v>0</v>
      </c>
      <c r="F61" s="20">
        <f t="shared" si="1"/>
        <v>0</v>
      </c>
    </row>
    <row r="62" spans="1:6" s="3" customFormat="1" ht="15">
      <c r="A62" s="30" t="s">
        <v>14</v>
      </c>
      <c r="B62" s="25">
        <v>438016.329</v>
      </c>
      <c r="C62" s="25">
        <v>20000</v>
      </c>
      <c r="D62" s="25"/>
      <c r="E62" s="20">
        <f t="shared" si="2"/>
        <v>0</v>
      </c>
      <c r="F62" s="20">
        <f t="shared" si="1"/>
        <v>0</v>
      </c>
    </row>
    <row r="63" spans="1:6" s="3" customFormat="1" ht="15" customHeight="1">
      <c r="A63" s="23" t="s">
        <v>16</v>
      </c>
      <c r="B63" s="22">
        <f>SUM(B64:B65)</f>
        <v>67795.117</v>
      </c>
      <c r="C63" s="22">
        <f>SUM(C64:C65)</f>
        <v>18523.031</v>
      </c>
      <c r="D63" s="22">
        <f>SUM(D64:D65)</f>
        <v>15248.434</v>
      </c>
      <c r="E63" s="19">
        <f t="shared" si="2"/>
        <v>22.491935518010834</v>
      </c>
      <c r="F63" s="19">
        <f t="shared" si="1"/>
        <v>82.32148399470908</v>
      </c>
    </row>
    <row r="64" spans="1:6" s="3" customFormat="1" ht="15">
      <c r="A64" s="30" t="s">
        <v>13</v>
      </c>
      <c r="B64" s="25">
        <v>67795.117</v>
      </c>
      <c r="C64" s="25">
        <v>18523.031</v>
      </c>
      <c r="D64" s="25">
        <v>15248.434</v>
      </c>
      <c r="E64" s="20">
        <f t="shared" si="2"/>
        <v>22.491935518010834</v>
      </c>
      <c r="F64" s="20">
        <f t="shared" si="1"/>
        <v>82.32148399470908</v>
      </c>
    </row>
    <row r="65" spans="1:6" s="3" customFormat="1" ht="15">
      <c r="A65" s="30" t="s">
        <v>14</v>
      </c>
      <c r="B65" s="25"/>
      <c r="C65" s="25"/>
      <c r="D65" s="25"/>
      <c r="E65" s="20" t="e">
        <f t="shared" si="2"/>
        <v>#DIV/0!</v>
      </c>
      <c r="F65" s="20" t="e">
        <f t="shared" si="1"/>
        <v>#DIV/0!</v>
      </c>
    </row>
    <row r="66" spans="1:6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2"/>
        <v>#DIV/0!</v>
      </c>
      <c r="F66" s="19" t="e">
        <f t="shared" si="1"/>
        <v>#DIV/0!</v>
      </c>
    </row>
    <row r="67" spans="1:6" s="3" customFormat="1" ht="15">
      <c r="A67" s="30" t="s">
        <v>14</v>
      </c>
      <c r="B67" s="25"/>
      <c r="C67" s="25"/>
      <c r="D67" s="25"/>
      <c r="E67" s="20" t="e">
        <f t="shared" si="2"/>
        <v>#DIV/0!</v>
      </c>
      <c r="F67" s="20" t="e">
        <f t="shared" si="1"/>
        <v>#DIV/0!</v>
      </c>
    </row>
    <row r="68" spans="1:6" s="3" customFormat="1" ht="42.75">
      <c r="A68" s="23" t="s">
        <v>10</v>
      </c>
      <c r="B68" s="18">
        <f>SUM(B69)+B72</f>
        <v>8770.034</v>
      </c>
      <c r="C68" s="18">
        <f>SUM(C69)+C72</f>
        <v>2760.817</v>
      </c>
      <c r="D68" s="18">
        <f>SUM(D69)+D72</f>
        <v>1759.573</v>
      </c>
      <c r="E68" s="19">
        <f t="shared" si="2"/>
        <v>20.06346839704384</v>
      </c>
      <c r="F68" s="19">
        <f t="shared" si="1"/>
        <v>63.733778805331895</v>
      </c>
    </row>
    <row r="69" spans="1:6" s="3" customFormat="1" ht="15">
      <c r="A69" s="30" t="s">
        <v>31</v>
      </c>
      <c r="B69" s="25">
        <v>8770.034</v>
      </c>
      <c r="C69" s="25">
        <v>2760.817</v>
      </c>
      <c r="D69" s="25">
        <v>1759.573</v>
      </c>
      <c r="E69" s="20">
        <f aca="true" t="shared" si="3" ref="E69:E90">SUM(D69)/B69*100</f>
        <v>20.06346839704384</v>
      </c>
      <c r="F69" s="20">
        <f t="shared" si="1"/>
        <v>63.733778805331895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2749.677</v>
      </c>
      <c r="D71" s="11">
        <f>SUM(D69)-D70</f>
        <v>1758.1760000000002</v>
      </c>
      <c r="E71" s="19">
        <f t="shared" si="3"/>
        <v>20.08178567912245</v>
      </c>
      <c r="F71" s="19">
        <f t="shared" si="1"/>
        <v>63.94118290984723</v>
      </c>
    </row>
    <row r="72" spans="1:6" s="3" customFormat="1" ht="15">
      <c r="A72" s="30" t="s">
        <v>14</v>
      </c>
      <c r="B72" s="25"/>
      <c r="C72" s="25"/>
      <c r="D72" s="25"/>
      <c r="E72" s="20" t="e">
        <f t="shared" si="3"/>
        <v>#DIV/0!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>
        <v>300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12602.4</v>
      </c>
      <c r="D74" s="18">
        <v>11552.2</v>
      </c>
      <c r="E74" s="20">
        <f t="shared" si="3"/>
        <v>30.556040479704606</v>
      </c>
      <c r="F74" s="20">
        <f aca="true" t="shared" si="4" ref="F74:F90">SUM(D74)/C74*100</f>
        <v>91.66666666666667</v>
      </c>
    </row>
    <row r="75" spans="1:6" s="2" customFormat="1" ht="15">
      <c r="A75" s="17" t="s">
        <v>17</v>
      </c>
      <c r="B75" s="18">
        <f>SUM(B76)+B80</f>
        <v>16149.3</v>
      </c>
      <c r="C75" s="18">
        <f>SUM(C76)+C80</f>
        <v>6882.668</v>
      </c>
      <c r="D75" s="18">
        <f>SUM(D76)+D80</f>
        <v>420.98800000000006</v>
      </c>
      <c r="E75" s="20">
        <f t="shared" si="3"/>
        <v>2.6068498325004805</v>
      </c>
      <c r="F75" s="20">
        <f t="shared" si="4"/>
        <v>6.116639651948925</v>
      </c>
    </row>
    <row r="76" spans="1:6" s="2" customFormat="1" ht="15">
      <c r="A76" s="30" t="s">
        <v>31</v>
      </c>
      <c r="B76" s="25">
        <f>11422.266+1000-290+217.034</f>
        <v>12349.3</v>
      </c>
      <c r="C76" s="25">
        <f>5205.369-22.701</f>
        <v>5182.668</v>
      </c>
      <c r="D76" s="25">
        <f>218.769+36+53.875+653.87-572.473+15.001+15.946</f>
        <v>420.98800000000006</v>
      </c>
      <c r="E76" s="19">
        <f t="shared" si="3"/>
        <v>3.4090029394378636</v>
      </c>
      <c r="F76" s="20">
        <f t="shared" si="4"/>
        <v>8.122997652946323</v>
      </c>
    </row>
    <row r="77" spans="1:6" s="3" customFormat="1" ht="15">
      <c r="A77" s="12" t="s">
        <v>1</v>
      </c>
      <c r="B77" s="11"/>
      <c r="C77" s="11"/>
      <c r="D77" s="11"/>
      <c r="E77" s="19" t="e">
        <f t="shared" si="3"/>
        <v>#DIV/0!</v>
      </c>
      <c r="F77" s="19" t="e">
        <f t="shared" si="4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 t="shared" si="3"/>
        <v>#DIV/0!</v>
      </c>
      <c r="F78" s="19" t="e">
        <f t="shared" si="4"/>
        <v>#DIV/0!</v>
      </c>
    </row>
    <row r="79" spans="1:6" s="3" customFormat="1" ht="15">
      <c r="A79" s="12" t="s">
        <v>13</v>
      </c>
      <c r="B79" s="11">
        <f>SUM(B76)-B77-B78</f>
        <v>12349.3</v>
      </c>
      <c r="C79" s="11">
        <f>SUM(C76)-C77-C78</f>
        <v>5182.668</v>
      </c>
      <c r="D79" s="11">
        <f>SUM(D76)-D77-D78</f>
        <v>420.98800000000006</v>
      </c>
      <c r="E79" s="20">
        <f t="shared" si="3"/>
        <v>3.4090029394378636</v>
      </c>
      <c r="F79" s="20">
        <f>SUM(D79)/C79*100</f>
        <v>8.122997652946323</v>
      </c>
    </row>
    <row r="80" spans="1:6" s="3" customFormat="1" ht="15">
      <c r="A80" s="30" t="s">
        <v>14</v>
      </c>
      <c r="B80" s="25">
        <f>500+3300</f>
        <v>3800</v>
      </c>
      <c r="C80" s="25">
        <f>100+500+50+1050</f>
        <v>1700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f>9000+21</f>
        <v>9021</v>
      </c>
      <c r="D81" s="18">
        <v>8000</v>
      </c>
      <c r="E81" s="20">
        <f t="shared" si="3"/>
        <v>50.71154638521759</v>
      </c>
      <c r="F81" s="20">
        <f t="shared" si="4"/>
        <v>88.68196430550937</v>
      </c>
    </row>
    <row r="82" spans="1:12" s="9" customFormat="1" ht="15.75">
      <c r="A82" s="27" t="s">
        <v>25</v>
      </c>
      <c r="B82" s="28">
        <f>B5+B14+B23+B35+B42+B49+B56+B61+B63+B66+B68+B73+B74+B75+B81</f>
        <v>2733774.133</v>
      </c>
      <c r="C82" s="28">
        <f>C5+C14+C23+C35+C42+C49+C56+C61+C63+C66+C68+C73+C74+C75+C81</f>
        <v>838880.3999999999</v>
      </c>
      <c r="D82" s="28">
        <f>D5+D14+D23+D35+D42+D49+D56+D61+D63+D66+D68+D73+D74+D75+D81</f>
        <v>663972.218</v>
      </c>
      <c r="E82" s="20">
        <f t="shared" si="3"/>
        <v>24.28774967123445</v>
      </c>
      <c r="F82" s="20">
        <f t="shared" si="4"/>
        <v>79.14980705235217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2261479.941</v>
      </c>
      <c r="C83" s="28">
        <f>C6+C15+C24+C36+C43+C50+C57+C64+C69+C76+C74</f>
        <v>802158.337</v>
      </c>
      <c r="D83" s="28">
        <f>D6+D15+D24+D36+D43+D50+D57+D64+D69+D76+D74</f>
        <v>655758.836</v>
      </c>
      <c r="E83" s="20">
        <f t="shared" si="3"/>
        <v>28.99688934273859</v>
      </c>
      <c r="F83" s="20">
        <f t="shared" si="4"/>
        <v>81.7493013227886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746762.364</v>
      </c>
      <c r="C84" s="22">
        <f t="shared" si="5"/>
        <v>227099.42500000002</v>
      </c>
      <c r="D84" s="22">
        <f t="shared" si="5"/>
        <v>201422.178</v>
      </c>
      <c r="E84" s="19">
        <f t="shared" si="3"/>
        <v>26.97272756504371</v>
      </c>
      <c r="F84" s="19">
        <f t="shared" si="4"/>
        <v>88.69338969044065</v>
      </c>
    </row>
    <row r="85" spans="1:6" ht="15">
      <c r="A85" s="29" t="s">
        <v>28</v>
      </c>
      <c r="B85" s="22">
        <f t="shared" si="5"/>
        <v>164347.59</v>
      </c>
      <c r="C85" s="22">
        <f t="shared" si="5"/>
        <v>50252.718</v>
      </c>
      <c r="D85" s="22">
        <f t="shared" si="5"/>
        <v>44434.899999999994</v>
      </c>
      <c r="E85" s="19">
        <f t="shared" si="3"/>
        <v>27.037147304685146</v>
      </c>
      <c r="F85" s="19">
        <f t="shared" si="4"/>
        <v>88.42287893761286</v>
      </c>
    </row>
    <row r="86" spans="1:6" ht="15">
      <c r="A86" s="29" t="s">
        <v>2</v>
      </c>
      <c r="B86" s="22">
        <f>B70+B11+B20+B29+B39+B46+B53+B58</f>
        <v>165297.17400000006</v>
      </c>
      <c r="C86" s="22">
        <f>C70+C11+C20+C29+C39+C46+C53+C58</f>
        <v>75953.96299999999</v>
      </c>
      <c r="D86" s="22">
        <f>D70+D11+D20+D29+D39+D46+D53+D58</f>
        <v>65789.26699999999</v>
      </c>
      <c r="E86" s="19">
        <f t="shared" si="3"/>
        <v>39.800599978799376</v>
      </c>
      <c r="F86" s="19">
        <f>SUM(D86)/C86*100</f>
        <v>86.61729342549249</v>
      </c>
    </row>
    <row r="87" spans="1:6" ht="15">
      <c r="A87" s="29" t="s">
        <v>13</v>
      </c>
      <c r="B87" s="22">
        <f>B83-B84-B85-B86</f>
        <v>1185072.8129999998</v>
      </c>
      <c r="C87" s="22">
        <f>C83-C84-C85-C86</f>
        <v>448852.231</v>
      </c>
      <c r="D87" s="22">
        <f>D83-D84-D85-D86</f>
        <v>344112.49100000004</v>
      </c>
      <c r="E87" s="19">
        <f t="shared" si="3"/>
        <v>29.03724456633873</v>
      </c>
      <c r="F87" s="19">
        <f t="shared" si="4"/>
        <v>76.66498398222288</v>
      </c>
    </row>
    <row r="88" spans="1:6" ht="20.25" customHeight="1">
      <c r="A88" s="17" t="s">
        <v>14</v>
      </c>
      <c r="B88" s="18">
        <f>B13+B22+B41+B34+B55+B60+B62+B65+B67+B72+B80+B48</f>
        <v>454018.69200000004</v>
      </c>
      <c r="C88" s="18">
        <f>C13+C22+C41+C34+C55+C60+C62+C65+C67+C72+C80+C48</f>
        <v>27401.063</v>
      </c>
      <c r="D88" s="18">
        <f>D13+D22+D41+D34+D55+D60+D62+D65+D67+D72+D80+D48</f>
        <v>213.382</v>
      </c>
      <c r="E88" s="19">
        <f t="shared" si="3"/>
        <v>0.046998505515275124</v>
      </c>
      <c r="F88" s="19">
        <f t="shared" si="4"/>
        <v>0.7787362118031699</v>
      </c>
    </row>
    <row r="89" spans="1:6" ht="15">
      <c r="A89" s="17" t="s">
        <v>24</v>
      </c>
      <c r="B89" s="18">
        <f>SUM(B81)</f>
        <v>15775.5</v>
      </c>
      <c r="C89" s="18">
        <f>SUM(C81)</f>
        <v>9021</v>
      </c>
      <c r="D89" s="18">
        <f>SUM(D81)</f>
        <v>8000</v>
      </c>
      <c r="E89" s="19">
        <f t="shared" si="3"/>
        <v>50.71154638521759</v>
      </c>
      <c r="F89" s="19">
        <f t="shared" si="4"/>
        <v>88.68196430550937</v>
      </c>
    </row>
    <row r="90" spans="1:6" ht="15">
      <c r="A90" s="17" t="s">
        <v>30</v>
      </c>
      <c r="B90" s="18">
        <f>SUM(B73)</f>
        <v>2500</v>
      </c>
      <c r="C90" s="18">
        <f>SUM(C73)</f>
        <v>300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70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72</v>
      </c>
      <c r="D3" s="71" t="s">
        <v>74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670317</v>
      </c>
      <c r="C5" s="18">
        <f>C6+C13</f>
        <v>220458.498</v>
      </c>
      <c r="D5" s="18">
        <f>D6+D13</f>
        <v>187296.712</v>
      </c>
      <c r="E5" s="19">
        <f aca="true" t="shared" si="0" ref="E5:E68">SUM(D5)/B5*100</f>
        <v>27.94151304532035</v>
      </c>
      <c r="F5" s="19">
        <f>SUM(D5)/C5*100</f>
        <v>84.95781006364291</v>
      </c>
    </row>
    <row r="6" spans="1:6" s="37" customFormat="1" ht="15">
      <c r="A6" s="36" t="s">
        <v>34</v>
      </c>
      <c r="B6" s="25">
        <v>670202.6</v>
      </c>
      <c r="C6" s="25">
        <v>220344.098</v>
      </c>
      <c r="D6" s="25">
        <f>186909.371+387.341</f>
        <v>187296.712</v>
      </c>
      <c r="E6" s="20">
        <f t="shared" si="0"/>
        <v>27.94628251218363</v>
      </c>
      <c r="F6" s="20">
        <f>SUM(D6)/C6*100</f>
        <v>85.00191913467998</v>
      </c>
    </row>
    <row r="7" spans="1:6" s="37" customFormat="1" ht="15">
      <c r="A7" s="38" t="s">
        <v>35</v>
      </c>
      <c r="B7" s="11">
        <v>393800.859</v>
      </c>
      <c r="C7" s="11">
        <v>120432.321</v>
      </c>
      <c r="D7" s="11">
        <v>103390.789</v>
      </c>
      <c r="E7" s="20">
        <f t="shared" si="0"/>
        <v>26.254586966251388</v>
      </c>
      <c r="F7" s="20">
        <f aca="true" t="shared" si="1" ref="F7:F73">SUM(D7)/C7*100</f>
        <v>85.8497022572537</v>
      </c>
    </row>
    <row r="8" spans="1:6" s="37" customFormat="1" ht="15">
      <c r="A8" s="38" t="s">
        <v>36</v>
      </c>
      <c r="B8" s="11">
        <v>86636.189</v>
      </c>
      <c r="C8" s="11">
        <v>26791.946</v>
      </c>
      <c r="D8" s="11">
        <v>23019.815</v>
      </c>
      <c r="E8" s="20">
        <f t="shared" si="0"/>
        <v>26.570668984527927</v>
      </c>
      <c r="F8" s="20">
        <f t="shared" si="1"/>
        <v>85.92065316942636</v>
      </c>
    </row>
    <row r="9" spans="1:6" s="37" customFormat="1" ht="15">
      <c r="A9" s="38" t="s">
        <v>37</v>
      </c>
      <c r="B9" s="11">
        <v>153.271</v>
      </c>
      <c r="C9" s="11">
        <v>9.979</v>
      </c>
      <c r="D9" s="11">
        <v>6.623</v>
      </c>
      <c r="E9" s="20">
        <f t="shared" si="0"/>
        <v>4.321104448982522</v>
      </c>
      <c r="F9" s="20"/>
    </row>
    <row r="10" spans="1:6" s="37" customFormat="1" ht="15">
      <c r="A10" s="38" t="s">
        <v>38</v>
      </c>
      <c r="B10" s="11">
        <v>47670.978</v>
      </c>
      <c r="C10" s="11">
        <v>12786.281</v>
      </c>
      <c r="D10" s="11">
        <f>11745.333+65.422</f>
        <v>11810.755000000001</v>
      </c>
      <c r="E10" s="20">
        <f t="shared" si="0"/>
        <v>24.775566802929866</v>
      </c>
      <c r="F10" s="20">
        <f t="shared" si="1"/>
        <v>92.37052587847866</v>
      </c>
    </row>
    <row r="11" spans="1:6" s="37" customFormat="1" ht="30">
      <c r="A11" s="38" t="s">
        <v>39</v>
      </c>
      <c r="B11" s="11">
        <v>92734.871</v>
      </c>
      <c r="C11" s="11">
        <v>44396.49</v>
      </c>
      <c r="D11" s="11">
        <f>38967.452+168.363</f>
        <v>39135.814999999995</v>
      </c>
      <c r="E11" s="20">
        <f t="shared" si="0"/>
        <v>42.201832577089576</v>
      </c>
      <c r="F11" s="20">
        <f t="shared" si="1"/>
        <v>88.15069614737561</v>
      </c>
    </row>
    <row r="12" spans="1:6" s="37" customFormat="1" ht="15">
      <c r="A12" s="38" t="s">
        <v>40</v>
      </c>
      <c r="B12" s="11">
        <f>SUM(B6)-B7-B8-B9-B10-B11</f>
        <v>49206.43199999996</v>
      </c>
      <c r="C12" s="11">
        <f>SUM(C6)-C7-C8-C9-C10-C11</f>
        <v>15927.080999999998</v>
      </c>
      <c r="D12" s="11">
        <f>SUM(D6)-D7-D8-D9-D10-D11</f>
        <v>9932.915</v>
      </c>
      <c r="E12" s="20">
        <f t="shared" si="0"/>
        <v>20.186212647972546</v>
      </c>
      <c r="F12" s="20">
        <f t="shared" si="1"/>
        <v>62.364943080279446</v>
      </c>
    </row>
    <row r="13" spans="1:6" s="37" customFormat="1" ht="15">
      <c r="A13" s="36" t="s">
        <v>41</v>
      </c>
      <c r="B13" s="25">
        <v>114.4</v>
      </c>
      <c r="C13" s="25">
        <v>114.4</v>
      </c>
      <c r="D13" s="25"/>
      <c r="E13" s="20">
        <f t="shared" si="0"/>
        <v>0</v>
      </c>
      <c r="F13" s="20">
        <f t="shared" si="1"/>
        <v>0</v>
      </c>
    </row>
    <row r="14" spans="1:6" s="35" customFormat="1" ht="14.25">
      <c r="A14" s="34" t="s">
        <v>42</v>
      </c>
      <c r="B14" s="18">
        <f>B15+B22</f>
        <v>369316.326</v>
      </c>
      <c r="C14" s="18">
        <f>C15+C22</f>
        <v>120387.28</v>
      </c>
      <c r="D14" s="18">
        <f>D15+D22</f>
        <v>109295.42599999999</v>
      </c>
      <c r="E14" s="19">
        <f t="shared" si="0"/>
        <v>29.593987133945436</v>
      </c>
      <c r="F14" s="19">
        <f t="shared" si="1"/>
        <v>90.78652329382307</v>
      </c>
    </row>
    <row r="15" spans="1:6" s="37" customFormat="1" ht="15">
      <c r="A15" s="36" t="s">
        <v>43</v>
      </c>
      <c r="B15" s="25">
        <f>343920.326+25271</f>
        <v>369191.326</v>
      </c>
      <c r="C15" s="25">
        <f>111865.68+8396.6</f>
        <v>120262.28</v>
      </c>
      <c r="D15" s="25">
        <f>89110.943+12842.533+7341.95</f>
        <v>109295.42599999999</v>
      </c>
      <c r="E15" s="20">
        <f t="shared" si="0"/>
        <v>29.60400700204966</v>
      </c>
      <c r="F15" s="20">
        <f>SUM(D15)/C15*100</f>
        <v>90.88088634275019</v>
      </c>
    </row>
    <row r="16" spans="1:6" s="37" customFormat="1" ht="15">
      <c r="A16" s="38" t="s">
        <v>35</v>
      </c>
      <c r="B16" s="11">
        <v>221602.052</v>
      </c>
      <c r="C16" s="11">
        <v>67662.832</v>
      </c>
      <c r="D16" s="11">
        <f>55037.728+9707.411</f>
        <v>64745.139</v>
      </c>
      <c r="E16" s="20">
        <f t="shared" si="0"/>
        <v>29.216849941443684</v>
      </c>
      <c r="F16" s="20">
        <f t="shared" si="1"/>
        <v>95.68789405681395</v>
      </c>
    </row>
    <row r="17" spans="1:6" s="37" customFormat="1" ht="15">
      <c r="A17" s="38" t="s">
        <v>36</v>
      </c>
      <c r="B17" s="11">
        <v>48752.452</v>
      </c>
      <c r="C17" s="11">
        <v>14835.122</v>
      </c>
      <c r="D17" s="11">
        <f>11955.541+2135.32</f>
        <v>14090.860999999999</v>
      </c>
      <c r="E17" s="20">
        <f t="shared" si="0"/>
        <v>28.902876515831448</v>
      </c>
      <c r="F17" s="20">
        <f t="shared" si="1"/>
        <v>94.98311506976485</v>
      </c>
    </row>
    <row r="18" spans="1:6" s="37" customFormat="1" ht="15">
      <c r="A18" s="38" t="s">
        <v>37</v>
      </c>
      <c r="B18" s="11">
        <v>15177.439</v>
      </c>
      <c r="C18" s="11">
        <v>4693.495</v>
      </c>
      <c r="D18" s="11">
        <f>3853.354+66.374</f>
        <v>3919.7279999999996</v>
      </c>
      <c r="E18" s="20">
        <f t="shared" si="0"/>
        <v>25.826017156122315</v>
      </c>
      <c r="F18" s="20">
        <f t="shared" si="1"/>
        <v>83.5140550911421</v>
      </c>
    </row>
    <row r="19" spans="1:6" s="37" customFormat="1" ht="15">
      <c r="A19" s="38" t="s">
        <v>38</v>
      </c>
      <c r="B19" s="11">
        <v>6270.712</v>
      </c>
      <c r="C19" s="11">
        <v>2319.402</v>
      </c>
      <c r="D19" s="11">
        <f>1556.058+129.311</f>
        <v>1685.369</v>
      </c>
      <c r="E19" s="20">
        <f t="shared" si="0"/>
        <v>26.876836314600318</v>
      </c>
      <c r="F19" s="20">
        <f t="shared" si="1"/>
        <v>72.66394527554947</v>
      </c>
    </row>
    <row r="20" spans="1:6" s="37" customFormat="1" ht="30">
      <c r="A20" s="38" t="s">
        <v>39</v>
      </c>
      <c r="B20" s="11">
        <v>35747.327</v>
      </c>
      <c r="C20" s="11">
        <v>16394.072</v>
      </c>
      <c r="D20" s="11">
        <f>12956.146+547.44</f>
        <v>13503.586000000001</v>
      </c>
      <c r="E20" s="20">
        <f t="shared" si="0"/>
        <v>37.775092946110355</v>
      </c>
      <c r="F20" s="20">
        <f t="shared" si="1"/>
        <v>82.36871230039738</v>
      </c>
    </row>
    <row r="21" spans="1:6" s="37" customFormat="1" ht="15">
      <c r="A21" s="38" t="s">
        <v>40</v>
      </c>
      <c r="B21" s="11">
        <f>SUM(B15)-B16-B17-B18-B19-B20</f>
        <v>41641.34400000002</v>
      </c>
      <c r="C21" s="11">
        <f>SUM(C15)-C16-C17-C18-C19-C20</f>
        <v>14357.356999999996</v>
      </c>
      <c r="D21" s="11">
        <f>SUM(D15)-D16-D17-D18-D19-D20</f>
        <v>11350.742999999993</v>
      </c>
      <c r="E21" s="20">
        <f t="shared" si="0"/>
        <v>27.258349298235878</v>
      </c>
      <c r="F21" s="20">
        <f t="shared" si="1"/>
        <v>79.05872229826142</v>
      </c>
    </row>
    <row r="22" spans="1:6" s="37" customFormat="1" ht="15">
      <c r="A22" s="36" t="s">
        <v>41</v>
      </c>
      <c r="B22" s="25">
        <v>125</v>
      </c>
      <c r="C22" s="25">
        <v>125</v>
      </c>
      <c r="D22" s="25"/>
      <c r="E22" s="20">
        <f t="shared" si="0"/>
        <v>0</v>
      </c>
      <c r="F22" s="20">
        <f t="shared" si="1"/>
        <v>0</v>
      </c>
    </row>
    <row r="23" spans="1:6" s="35" customFormat="1" ht="28.5">
      <c r="A23" s="34" t="s">
        <v>59</v>
      </c>
      <c r="B23" s="18">
        <f>B24+B34</f>
        <v>694397.077</v>
      </c>
      <c r="C23" s="18">
        <f>C24+C34</f>
        <v>296854.016</v>
      </c>
      <c r="D23" s="18">
        <f>D24+D34</f>
        <v>248363.427</v>
      </c>
      <c r="E23" s="19">
        <f t="shared" si="0"/>
        <v>35.76677310811894</v>
      </c>
      <c r="F23" s="19">
        <f t="shared" si="1"/>
        <v>83.66517332209511</v>
      </c>
    </row>
    <row r="24" spans="1:6" s="37" customFormat="1" ht="15">
      <c r="A24" s="36" t="s">
        <v>43</v>
      </c>
      <c r="B24" s="25">
        <v>694397.077</v>
      </c>
      <c r="C24" s="25">
        <v>296854.016</v>
      </c>
      <c r="D24" s="25">
        <f>248226.441+136.986</f>
        <v>248363.427</v>
      </c>
      <c r="E24" s="20">
        <f t="shared" si="0"/>
        <v>35.76677310811894</v>
      </c>
      <c r="F24" s="20">
        <f>SUM(D24)/C24*100</f>
        <v>83.66517332209511</v>
      </c>
    </row>
    <row r="25" spans="1:6" s="37" customFormat="1" ht="15">
      <c r="A25" s="38" t="s">
        <v>35</v>
      </c>
      <c r="B25" s="11">
        <f>14660.587+636.762</f>
        <v>15297.349</v>
      </c>
      <c r="C25" s="11">
        <v>4759.836</v>
      </c>
      <c r="D25" s="11">
        <f>3946.456+94.44</f>
        <v>4040.896</v>
      </c>
      <c r="E25" s="20">
        <f t="shared" si="0"/>
        <v>26.41566195554537</v>
      </c>
      <c r="F25" s="20">
        <f t="shared" si="1"/>
        <v>84.89569808707695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v>1039.276</v>
      </c>
      <c r="D26" s="11">
        <v>880.041</v>
      </c>
      <c r="E26" s="20">
        <f t="shared" si="0"/>
        <v>26.22207032669986</v>
      </c>
      <c r="F26" s="20">
        <f t="shared" si="1"/>
        <v>84.67827603062132</v>
      </c>
    </row>
    <row r="27" spans="1:6" s="37" customFormat="1" ht="15">
      <c r="A27" s="38" t="s">
        <v>37</v>
      </c>
      <c r="B27" s="11">
        <v>72.57</v>
      </c>
      <c r="C27" s="11">
        <v>17.2</v>
      </c>
      <c r="D27" s="11">
        <v>17.2</v>
      </c>
      <c r="E27" s="20">
        <f t="shared" si="0"/>
        <v>23.701253961692164</v>
      </c>
      <c r="F27" s="20">
        <f t="shared" si="1"/>
        <v>100</v>
      </c>
    </row>
    <row r="28" spans="1:6" s="37" customFormat="1" ht="15">
      <c r="A28" s="38" t="s">
        <v>38</v>
      </c>
      <c r="B28" s="11">
        <v>259.017</v>
      </c>
      <c r="C28" s="11">
        <v>77.325</v>
      </c>
      <c r="D28" s="11">
        <v>76.541</v>
      </c>
      <c r="E28" s="20">
        <f t="shared" si="0"/>
        <v>29.550570039804334</v>
      </c>
      <c r="F28" s="20">
        <f t="shared" si="1"/>
        <v>98.98609763983187</v>
      </c>
    </row>
    <row r="29" spans="1:6" s="37" customFormat="1" ht="30">
      <c r="A29" s="38" t="s">
        <v>39</v>
      </c>
      <c r="B29" s="11">
        <v>1309.543</v>
      </c>
      <c r="C29" s="11">
        <v>712.001</v>
      </c>
      <c r="D29" s="11">
        <v>521.891</v>
      </c>
      <c r="E29" s="20">
        <f t="shared" si="0"/>
        <v>39.852910519165846</v>
      </c>
      <c r="F29" s="20">
        <f t="shared" si="1"/>
        <v>73.29919480450168</v>
      </c>
    </row>
    <row r="30" spans="1:6" s="37" customFormat="1" ht="15">
      <c r="A30" s="38" t="s">
        <v>40</v>
      </c>
      <c r="B30" s="11">
        <f>SUM(B24)-B25-B26-B27-B28-B29</f>
        <v>674102.4900000001</v>
      </c>
      <c r="C30" s="11">
        <f>SUM(C24)-C25-C26-C27-C28-C29</f>
        <v>290248.37799999997</v>
      </c>
      <c r="D30" s="11">
        <f>SUM(D24)-D25-D26-D27-D28-D29</f>
        <v>242826.85799999998</v>
      </c>
      <c r="E30" s="20">
        <f t="shared" si="0"/>
        <v>36.02224611275356</v>
      </c>
      <c r="F30" s="20">
        <f t="shared" si="1"/>
        <v>83.6617450451351</v>
      </c>
    </row>
    <row r="31" spans="1:6" s="37" customFormat="1" ht="15">
      <c r="A31" s="38" t="s">
        <v>44</v>
      </c>
      <c r="B31" s="11">
        <f>SUM(B32:B33)</f>
        <v>639599.8</v>
      </c>
      <c r="C31" s="11">
        <f>SUM(C32:C33)</f>
        <v>275922.767</v>
      </c>
      <c r="D31" s="11">
        <f>SUM(D32:D33)</f>
        <v>237394.23099999997</v>
      </c>
      <c r="E31" s="20">
        <f t="shared" si="0"/>
        <v>37.116057728598406</v>
      </c>
      <c r="F31" s="20">
        <f>SUM(D31)/C31*100</f>
        <v>86.0364780989602</v>
      </c>
    </row>
    <row r="32" spans="1:6" s="37" customFormat="1" ht="30">
      <c r="A32" s="39" t="s">
        <v>63</v>
      </c>
      <c r="B32" s="11">
        <v>424514.7</v>
      </c>
      <c r="C32" s="11">
        <v>136255.808</v>
      </c>
      <c r="D32" s="67">
        <v>136255.808</v>
      </c>
      <c r="E32" s="20">
        <f t="shared" si="0"/>
        <v>32.09684093389463</v>
      </c>
      <c r="F32" s="20">
        <f>SUM(D32)/C32*100</f>
        <v>100</v>
      </c>
    </row>
    <row r="33" spans="1:6" s="37" customFormat="1" ht="15">
      <c r="A33" s="39" t="s">
        <v>60</v>
      </c>
      <c r="B33" s="11">
        <v>215085.1</v>
      </c>
      <c r="C33" s="11">
        <v>139666.959</v>
      </c>
      <c r="D33" s="11">
        <v>101138.423</v>
      </c>
      <c r="E33" s="20">
        <f t="shared" si="0"/>
        <v>47.02251480925457</v>
      </c>
      <c r="F33" s="20">
        <f>SUM(D33)/C33*100</f>
        <v>72.41399377786982</v>
      </c>
    </row>
    <row r="34" spans="1:6" s="37" customFormat="1" ht="15">
      <c r="A34" s="36" t="s">
        <v>41</v>
      </c>
      <c r="B34" s="25">
        <v>0</v>
      </c>
      <c r="C34" s="25">
        <v>0</v>
      </c>
      <c r="D34" s="25">
        <v>0</v>
      </c>
      <c r="E34" s="20" t="e">
        <f t="shared" si="0"/>
        <v>#DIV/0!</v>
      </c>
      <c r="F34" s="20" t="e">
        <f>SUM(D34)/C34*100</f>
        <v>#DIV/0!</v>
      </c>
    </row>
    <row r="35" spans="1:6" s="35" customFormat="1" ht="14.25">
      <c r="A35" s="34" t="s">
        <v>61</v>
      </c>
      <c r="B35" s="18">
        <f>B36+B41</f>
        <v>87726.2</v>
      </c>
      <c r="C35" s="18">
        <f>C36+C41</f>
        <v>28782.564000000002</v>
      </c>
      <c r="D35" s="18">
        <f>D36+D41</f>
        <v>22376.606</v>
      </c>
      <c r="E35" s="19">
        <f t="shared" si="0"/>
        <v>25.507323923753678</v>
      </c>
      <c r="F35" s="19">
        <f>SUM(D35)/C35*100</f>
        <v>77.74361589189898</v>
      </c>
    </row>
    <row r="36" spans="1:6" s="37" customFormat="1" ht="15">
      <c r="A36" s="36" t="s">
        <v>43</v>
      </c>
      <c r="B36" s="25">
        <v>87280</v>
      </c>
      <c r="C36" s="25">
        <v>28336.364</v>
      </c>
      <c r="D36" s="25">
        <f>22158.64+217.966</f>
        <v>22376.606</v>
      </c>
      <c r="E36" s="20">
        <f t="shared" si="0"/>
        <v>25.637724564619614</v>
      </c>
      <c r="F36" s="20">
        <f t="shared" si="1"/>
        <v>78.96780970204928</v>
      </c>
    </row>
    <row r="37" spans="1:6" s="37" customFormat="1" ht="15">
      <c r="A37" s="38" t="s">
        <v>35</v>
      </c>
      <c r="B37" s="11">
        <v>40460.715</v>
      </c>
      <c r="C37" s="11">
        <v>11838.132</v>
      </c>
      <c r="D37" s="11">
        <v>9945.617</v>
      </c>
      <c r="E37" s="20">
        <f t="shared" si="0"/>
        <v>24.580922507177643</v>
      </c>
      <c r="F37" s="20">
        <f>SUM(D37)/C37*100</f>
        <v>84.01339839765261</v>
      </c>
    </row>
    <row r="38" spans="1:6" s="37" customFormat="1" ht="15">
      <c r="A38" s="38" t="s">
        <v>36</v>
      </c>
      <c r="B38" s="11">
        <v>8901.357</v>
      </c>
      <c r="C38" s="11">
        <v>2630.284</v>
      </c>
      <c r="D38" s="11">
        <v>2198.003</v>
      </c>
      <c r="E38" s="20">
        <f t="shared" si="0"/>
        <v>24.69289794803197</v>
      </c>
      <c r="F38" s="20">
        <f t="shared" si="1"/>
        <v>83.5652347807309</v>
      </c>
    </row>
    <row r="39" spans="1:6" s="37" customFormat="1" ht="30">
      <c r="A39" s="38" t="s">
        <v>39</v>
      </c>
      <c r="B39" s="11">
        <v>6464.382</v>
      </c>
      <c r="C39" s="11">
        <v>3236.03</v>
      </c>
      <c r="D39" s="11">
        <f>2696.887+98.501</f>
        <v>2795.3880000000004</v>
      </c>
      <c r="E39" s="20">
        <f t="shared" si="0"/>
        <v>43.24292716612354</v>
      </c>
      <c r="F39" s="20">
        <f t="shared" si="1"/>
        <v>86.3832535545097</v>
      </c>
    </row>
    <row r="40" spans="1:6" s="37" customFormat="1" ht="15">
      <c r="A40" s="38" t="s">
        <v>40</v>
      </c>
      <c r="B40" s="11">
        <f>SUM(B36)-B37-B38-B39</f>
        <v>31453.546000000002</v>
      </c>
      <c r="C40" s="11">
        <f>SUM(C36)-C37-C38-C39</f>
        <v>10631.918000000003</v>
      </c>
      <c r="D40" s="11">
        <f>SUM(D36)-D37-D38-D39</f>
        <v>7437.597999999998</v>
      </c>
      <c r="E40" s="20">
        <f t="shared" si="0"/>
        <v>23.646294125311016</v>
      </c>
      <c r="F40" s="20">
        <f t="shared" si="1"/>
        <v>69.95537399742922</v>
      </c>
    </row>
    <row r="41" spans="1:6" s="37" customFormat="1" ht="15">
      <c r="A41" s="36" t="s">
        <v>41</v>
      </c>
      <c r="B41" s="25">
        <v>446.2</v>
      </c>
      <c r="C41" s="25">
        <v>446.2</v>
      </c>
      <c r="D41" s="25"/>
      <c r="E41" s="20">
        <f t="shared" si="0"/>
        <v>0</v>
      </c>
      <c r="F41" s="20">
        <f t="shared" si="1"/>
        <v>0</v>
      </c>
    </row>
    <row r="42" spans="1:6" s="35" customFormat="1" ht="14.25">
      <c r="A42" s="34" t="s">
        <v>62</v>
      </c>
      <c r="B42" s="18">
        <f>B43+B48</f>
        <v>51915.463</v>
      </c>
      <c r="C42" s="18">
        <f>C43+C48</f>
        <v>18156.686</v>
      </c>
      <c r="D42" s="18">
        <f>D43+D48</f>
        <v>13053.431999999999</v>
      </c>
      <c r="E42" s="19">
        <f t="shared" si="0"/>
        <v>25.143630135784395</v>
      </c>
      <c r="F42" s="19">
        <f t="shared" si="1"/>
        <v>71.89325188528346</v>
      </c>
    </row>
    <row r="43" spans="1:6" s="37" customFormat="1" ht="15">
      <c r="A43" s="36" t="s">
        <v>43</v>
      </c>
      <c r="B43" s="25">
        <v>51900</v>
      </c>
      <c r="C43" s="25">
        <v>18141.223</v>
      </c>
      <c r="D43" s="25">
        <f>12873.023+180.409</f>
        <v>13053.431999999999</v>
      </c>
      <c r="E43" s="20">
        <f t="shared" si="0"/>
        <v>25.151121387283236</v>
      </c>
      <c r="F43" s="20">
        <f t="shared" si="1"/>
        <v>71.95453140066685</v>
      </c>
    </row>
    <row r="44" spans="1:6" s="37" customFormat="1" ht="15">
      <c r="A44" s="38" t="s">
        <v>35</v>
      </c>
      <c r="B44" s="11">
        <v>24685.189</v>
      </c>
      <c r="C44" s="11">
        <v>7489.884</v>
      </c>
      <c r="D44" s="11">
        <f>6339.649+99.854</f>
        <v>6439.503000000001</v>
      </c>
      <c r="E44" s="20">
        <f t="shared" si="0"/>
        <v>26.086504745821475</v>
      </c>
      <c r="F44" s="20">
        <f>SUM(D44)/C44*100</f>
        <v>85.97600443478164</v>
      </c>
    </row>
    <row r="45" spans="1:6" s="37" customFormat="1" ht="15">
      <c r="A45" s="38" t="s">
        <v>36</v>
      </c>
      <c r="B45" s="11">
        <v>5430.741</v>
      </c>
      <c r="C45" s="11">
        <v>1648.118</v>
      </c>
      <c r="D45" s="11">
        <f>1394.955+23.973</f>
        <v>1418.9279999999999</v>
      </c>
      <c r="E45" s="20">
        <f t="shared" si="0"/>
        <v>26.12770522475662</v>
      </c>
      <c r="F45" s="20">
        <f t="shared" si="1"/>
        <v>86.09383551420468</v>
      </c>
    </row>
    <row r="46" spans="1:6" s="37" customFormat="1" ht="30">
      <c r="A46" s="38" t="s">
        <v>39</v>
      </c>
      <c r="B46" s="11">
        <v>4194.121</v>
      </c>
      <c r="C46" s="11">
        <v>2127.343</v>
      </c>
      <c r="D46" s="11">
        <f>1431.845+16.524</f>
        <v>1448.3690000000001</v>
      </c>
      <c r="E46" s="20">
        <f t="shared" si="0"/>
        <v>34.533314608710626</v>
      </c>
      <c r="F46" s="20">
        <f t="shared" si="1"/>
        <v>68.0834731399685</v>
      </c>
    </row>
    <row r="47" spans="1:6" s="37" customFormat="1" ht="15">
      <c r="A47" s="38" t="s">
        <v>40</v>
      </c>
      <c r="B47" s="11">
        <f>SUM(B43)-B44-B45-B46</f>
        <v>17589.949</v>
      </c>
      <c r="C47" s="11">
        <f>SUM(C43)-C44-C45-C46</f>
        <v>6875.8780000000015</v>
      </c>
      <c r="D47" s="11">
        <f>SUM(D43)-D44-D45-D46</f>
        <v>3746.6319999999982</v>
      </c>
      <c r="E47" s="20">
        <f t="shared" si="0"/>
        <v>21.29984572439635</v>
      </c>
      <c r="F47" s="20">
        <f t="shared" si="1"/>
        <v>54.48950664918717</v>
      </c>
    </row>
    <row r="48" spans="1:6" s="37" customFormat="1" ht="15">
      <c r="A48" s="36" t="s">
        <v>41</v>
      </c>
      <c r="B48" s="25">
        <v>15.463</v>
      </c>
      <c r="C48" s="25">
        <v>15.463</v>
      </c>
      <c r="D48" s="25"/>
      <c r="E48" s="20">
        <f t="shared" si="0"/>
        <v>0</v>
      </c>
      <c r="F48" s="20">
        <f t="shared" si="1"/>
        <v>0</v>
      </c>
    </row>
    <row r="49" spans="1:6" s="37" customFormat="1" ht="14.25">
      <c r="A49" s="34" t="s">
        <v>45</v>
      </c>
      <c r="B49" s="18">
        <f>B50+B55</f>
        <v>89069.31</v>
      </c>
      <c r="C49" s="18">
        <f>C50+C55</f>
        <v>25452.115</v>
      </c>
      <c r="D49" s="18">
        <f>D50+D55</f>
        <v>20379.763</v>
      </c>
      <c r="E49" s="19">
        <f t="shared" si="0"/>
        <v>22.88079137471706</v>
      </c>
      <c r="F49" s="19">
        <f t="shared" si="1"/>
        <v>80.07099999351723</v>
      </c>
    </row>
    <row r="50" spans="1:6" s="37" customFormat="1" ht="15">
      <c r="A50" s="36" t="s">
        <v>43</v>
      </c>
      <c r="B50" s="25">
        <v>82568.01</v>
      </c>
      <c r="C50" s="25">
        <v>25452.115</v>
      </c>
      <c r="D50" s="25">
        <v>20379.763</v>
      </c>
      <c r="E50" s="20">
        <f t="shared" si="0"/>
        <v>24.682395760779507</v>
      </c>
      <c r="F50" s="20">
        <f t="shared" si="1"/>
        <v>80.07099999351723</v>
      </c>
    </row>
    <row r="51" spans="1:6" s="37" customFormat="1" ht="15">
      <c r="A51" s="38" t="s">
        <v>35</v>
      </c>
      <c r="B51" s="11">
        <v>50916.2</v>
      </c>
      <c r="C51" s="11">
        <v>14916.42</v>
      </c>
      <c r="D51" s="11">
        <v>12860.234</v>
      </c>
      <c r="E51" s="20">
        <f t="shared" si="0"/>
        <v>25.257646878596596</v>
      </c>
      <c r="F51" s="20">
        <f>SUM(D51)/C51*100</f>
        <v>86.2152849008006</v>
      </c>
    </row>
    <row r="52" spans="1:6" s="37" customFormat="1" ht="15">
      <c r="A52" s="38" t="s">
        <v>36</v>
      </c>
      <c r="B52" s="11">
        <v>11270.743</v>
      </c>
      <c r="C52" s="11">
        <v>3307.972</v>
      </c>
      <c r="D52" s="11">
        <v>2827.252</v>
      </c>
      <c r="E52" s="20">
        <f t="shared" si="0"/>
        <v>25.084876835537816</v>
      </c>
      <c r="F52" s="20">
        <f t="shared" si="1"/>
        <v>85.46783346412847</v>
      </c>
    </row>
    <row r="53" spans="1:6" s="37" customFormat="1" ht="30">
      <c r="A53" s="38" t="s">
        <v>39</v>
      </c>
      <c r="B53" s="11">
        <v>4798.274</v>
      </c>
      <c r="C53" s="11">
        <v>2400.495</v>
      </c>
      <c r="D53" s="11">
        <v>1933.927</v>
      </c>
      <c r="E53" s="20">
        <f t="shared" si="0"/>
        <v>40.30463870966935</v>
      </c>
      <c r="F53" s="20">
        <f t="shared" si="1"/>
        <v>80.56367540861365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4827.228000000002</v>
      </c>
      <c r="D54" s="11">
        <f>SUM(D50)-D51-D52-D53</f>
        <v>2758.3499999999985</v>
      </c>
      <c r="E54" s="20">
        <f t="shared" si="0"/>
        <v>17.701255480965443</v>
      </c>
      <c r="F54" s="20">
        <f t="shared" si="1"/>
        <v>57.141489898550425</v>
      </c>
    </row>
    <row r="55" spans="1:6" s="37" customFormat="1" ht="15">
      <c r="A55" s="36" t="s">
        <v>41</v>
      </c>
      <c r="B55" s="25">
        <v>6501.3</v>
      </c>
      <c r="C55" s="25"/>
      <c r="D55" s="25"/>
      <c r="E55" s="20">
        <f t="shared" si="0"/>
        <v>0</v>
      </c>
      <c r="F55" s="20" t="e">
        <f t="shared" si="1"/>
        <v>#DIV/0!</v>
      </c>
    </row>
    <row r="56" spans="1:6" s="37" customFormat="1" ht="28.5">
      <c r="A56" s="21" t="s">
        <v>46</v>
      </c>
      <c r="B56" s="22">
        <f>B57+B60</f>
        <v>184219.877</v>
      </c>
      <c r="C56" s="22">
        <f>C57+C60</f>
        <v>58699.325</v>
      </c>
      <c r="D56" s="22">
        <f>D57+D60</f>
        <v>26225.657</v>
      </c>
      <c r="E56" s="19">
        <f t="shared" si="0"/>
        <v>14.236062593831825</v>
      </c>
      <c r="F56" s="19">
        <f t="shared" si="1"/>
        <v>44.677953281404854</v>
      </c>
    </row>
    <row r="57" spans="1:6" s="37" customFormat="1" ht="15">
      <c r="A57" s="36" t="s">
        <v>43</v>
      </c>
      <c r="B57" s="25">
        <v>179219.877</v>
      </c>
      <c r="C57" s="25">
        <v>53699.325</v>
      </c>
      <c r="D57" s="25">
        <f>25915.942+96.333</f>
        <v>26012.274999999998</v>
      </c>
      <c r="E57" s="20">
        <f t="shared" si="0"/>
        <v>14.514168537232061</v>
      </c>
      <c r="F57" s="20">
        <f t="shared" si="1"/>
        <v>48.44059957923121</v>
      </c>
    </row>
    <row r="58" spans="1:6" s="37" customFormat="1" ht="30">
      <c r="A58" s="38" t="s">
        <v>39</v>
      </c>
      <c r="B58" s="11">
        <v>20033.7</v>
      </c>
      <c r="C58" s="11">
        <v>6676.392</v>
      </c>
      <c r="D58" s="11">
        <v>6448.894</v>
      </c>
      <c r="E58" s="20">
        <f t="shared" si="0"/>
        <v>32.19022946335425</v>
      </c>
      <c r="F58" s="20">
        <f>SUM(D58)/C58*100</f>
        <v>96.59250085974581</v>
      </c>
    </row>
    <row r="59" spans="1:6" s="37" customFormat="1" ht="15">
      <c r="A59" s="38" t="s">
        <v>40</v>
      </c>
      <c r="B59" s="11">
        <f>SUM(B57)-B58</f>
        <v>159186.177</v>
      </c>
      <c r="C59" s="11">
        <f>SUM(C57)-C58</f>
        <v>47022.933</v>
      </c>
      <c r="D59" s="11">
        <f>SUM(D57)-D58</f>
        <v>19563.380999999998</v>
      </c>
      <c r="E59" s="20">
        <f t="shared" si="0"/>
        <v>12.289622986548636</v>
      </c>
      <c r="F59" s="20">
        <f t="shared" si="1"/>
        <v>41.60391483874474</v>
      </c>
    </row>
    <row r="60" spans="1:6" s="37" customFormat="1" ht="15">
      <c r="A60" s="36" t="s">
        <v>41</v>
      </c>
      <c r="B60" s="25">
        <f>2465+2535</f>
        <v>5000</v>
      </c>
      <c r="C60" s="25">
        <f>2465+2500+35</f>
        <v>5000</v>
      </c>
      <c r="D60" s="25">
        <v>213.382</v>
      </c>
      <c r="E60" s="20">
        <f t="shared" si="0"/>
        <v>4.26764</v>
      </c>
      <c r="F60" s="20">
        <f t="shared" si="1"/>
        <v>4.26764</v>
      </c>
    </row>
    <row r="61" spans="1:6" s="37" customFormat="1" ht="15">
      <c r="A61" s="21" t="s">
        <v>47</v>
      </c>
      <c r="B61" s="22">
        <f>SUM(B62)</f>
        <v>438016.329</v>
      </c>
      <c r="C61" s="22">
        <f>SUM(C62)</f>
        <v>20000</v>
      </c>
      <c r="D61" s="22">
        <f>SUM(D62)</f>
        <v>0</v>
      </c>
      <c r="E61" s="20">
        <f t="shared" si="0"/>
        <v>0</v>
      </c>
      <c r="F61" s="20">
        <f t="shared" si="1"/>
        <v>0</v>
      </c>
    </row>
    <row r="62" spans="1:6" s="37" customFormat="1" ht="15">
      <c r="A62" s="36" t="s">
        <v>41</v>
      </c>
      <c r="B62" s="25">
        <v>438016.329</v>
      </c>
      <c r="C62" s="25">
        <v>20000</v>
      </c>
      <c r="D62" s="25"/>
      <c r="E62" s="20">
        <f t="shared" si="0"/>
        <v>0</v>
      </c>
      <c r="F62" s="20">
        <f t="shared" si="1"/>
        <v>0</v>
      </c>
    </row>
    <row r="63" spans="1:6" s="37" customFormat="1" ht="15">
      <c r="A63" s="40" t="s">
        <v>48</v>
      </c>
      <c r="B63" s="22">
        <f>SUM(B64:B65)</f>
        <v>67795.117</v>
      </c>
      <c r="C63" s="22">
        <f>SUM(C64:C65)</f>
        <v>18523.031</v>
      </c>
      <c r="D63" s="22">
        <f>SUM(D64:D65)</f>
        <v>15248.434</v>
      </c>
      <c r="E63" s="19">
        <f t="shared" si="0"/>
        <v>22.491935518010834</v>
      </c>
      <c r="F63" s="19">
        <f t="shared" si="1"/>
        <v>82.32148399470908</v>
      </c>
    </row>
    <row r="64" spans="1:6" s="37" customFormat="1" ht="15">
      <c r="A64" s="36" t="s">
        <v>40</v>
      </c>
      <c r="B64" s="25">
        <v>67795.117</v>
      </c>
      <c r="C64" s="25">
        <v>18523.031</v>
      </c>
      <c r="D64" s="25">
        <v>15248.434</v>
      </c>
      <c r="E64" s="20">
        <f t="shared" si="0"/>
        <v>22.491935518010834</v>
      </c>
      <c r="F64" s="20">
        <f t="shared" si="1"/>
        <v>82.32148399470908</v>
      </c>
    </row>
    <row r="65" spans="1:6" s="37" customFormat="1" ht="15">
      <c r="A65" s="36" t="s">
        <v>41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7" customFormat="1" ht="57">
      <c r="A66" s="41" t="s">
        <v>49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7" customFormat="1" ht="15">
      <c r="A67" s="36" t="s">
        <v>41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7" customFormat="1" ht="39.75" customHeight="1">
      <c r="A68" s="40" t="s">
        <v>50</v>
      </c>
      <c r="B68" s="18">
        <f>SUM(B69)+B72</f>
        <v>8770.034</v>
      </c>
      <c r="C68" s="18">
        <f>SUM(C69)+C72</f>
        <v>2760.817</v>
      </c>
      <c r="D68" s="18">
        <f>SUM(D69)+D72</f>
        <v>1759.573</v>
      </c>
      <c r="E68" s="19">
        <f t="shared" si="0"/>
        <v>20.06346839704384</v>
      </c>
      <c r="F68" s="19">
        <f t="shared" si="1"/>
        <v>63.733778805331895</v>
      </c>
    </row>
    <row r="69" spans="1:6" s="37" customFormat="1" ht="15">
      <c r="A69" s="36" t="s">
        <v>43</v>
      </c>
      <c r="B69" s="25">
        <v>8770.034</v>
      </c>
      <c r="C69" s="25">
        <v>2760.817</v>
      </c>
      <c r="D69" s="25">
        <v>1759.573</v>
      </c>
      <c r="E69" s="20">
        <f aca="true" t="shared" si="2" ref="E69:E90">SUM(D69)/B69*100</f>
        <v>20.06346839704384</v>
      </c>
      <c r="F69" s="20">
        <f t="shared" si="1"/>
        <v>63.733778805331895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2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8755.078</v>
      </c>
      <c r="C71" s="11">
        <f>SUM(C69)-C70</f>
        <v>2749.677</v>
      </c>
      <c r="D71" s="11">
        <f>SUM(D69)-D70</f>
        <v>1758.1760000000002</v>
      </c>
      <c r="E71" s="19">
        <f t="shared" si="2"/>
        <v>20.08178567912245</v>
      </c>
      <c r="F71" s="19">
        <f t="shared" si="1"/>
        <v>63.94118290984723</v>
      </c>
    </row>
    <row r="72" spans="1:6" s="37" customFormat="1" ht="15">
      <c r="A72" s="36" t="s">
        <v>41</v>
      </c>
      <c r="B72" s="25"/>
      <c r="C72" s="25"/>
      <c r="D72" s="25"/>
      <c r="E72" s="20" t="e">
        <f t="shared" si="2"/>
        <v>#DIV/0!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2500</v>
      </c>
      <c r="C73" s="18">
        <v>300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12602.4</v>
      </c>
      <c r="D74" s="18">
        <v>11552.2</v>
      </c>
      <c r="E74" s="20">
        <f t="shared" si="2"/>
        <v>30.556040479704606</v>
      </c>
      <c r="F74" s="20">
        <f aca="true" t="shared" si="3" ref="F74:F90">SUM(D74)/C74*100</f>
        <v>91.66666666666667</v>
      </c>
    </row>
    <row r="75" spans="1:6" s="35" customFormat="1" ht="15">
      <c r="A75" s="34" t="s">
        <v>53</v>
      </c>
      <c r="B75" s="18">
        <f>SUM(B76)+B80</f>
        <v>16149.3</v>
      </c>
      <c r="C75" s="18">
        <f>SUM(C76)+C80</f>
        <v>6882.668</v>
      </c>
      <c r="D75" s="18">
        <f>SUM(D76)+D80</f>
        <v>420.98800000000006</v>
      </c>
      <c r="E75" s="20">
        <f t="shared" si="2"/>
        <v>2.6068498325004805</v>
      </c>
      <c r="F75" s="20">
        <f t="shared" si="3"/>
        <v>6.116639651948925</v>
      </c>
    </row>
    <row r="76" spans="1:6" s="35" customFormat="1" ht="15">
      <c r="A76" s="36" t="s">
        <v>43</v>
      </c>
      <c r="B76" s="25">
        <f>11422.266+1000-290+217.034</f>
        <v>12349.3</v>
      </c>
      <c r="C76" s="25">
        <f>5205.369-22.701</f>
        <v>5182.668</v>
      </c>
      <c r="D76" s="25">
        <f>218.769+36+53.875+653.87-572.473+15.001+15.946</f>
        <v>420.98800000000006</v>
      </c>
      <c r="E76" s="19">
        <f t="shared" si="2"/>
        <v>3.4090029394378636</v>
      </c>
      <c r="F76" s="20">
        <f t="shared" si="3"/>
        <v>8.122997652946323</v>
      </c>
    </row>
    <row r="77" spans="1:6" s="37" customFormat="1" ht="15">
      <c r="A77" s="38" t="s">
        <v>35</v>
      </c>
      <c r="B77" s="11"/>
      <c r="C77" s="11"/>
      <c r="D77" s="11"/>
      <c r="E77" s="19" t="e">
        <f t="shared" si="2"/>
        <v>#DIV/0!</v>
      </c>
      <c r="F77" s="19" t="e">
        <f t="shared" si="3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 t="shared" si="2"/>
        <v>#DIV/0!</v>
      </c>
      <c r="F78" s="19" t="e">
        <f t="shared" si="3"/>
        <v>#DIV/0!</v>
      </c>
    </row>
    <row r="79" spans="1:6" s="37" customFormat="1" ht="15">
      <c r="A79" s="38" t="s">
        <v>40</v>
      </c>
      <c r="B79" s="11">
        <f>SUM(B76)-B77-B78</f>
        <v>12349.3</v>
      </c>
      <c r="C79" s="11">
        <f>SUM(C76)-C77-C78</f>
        <v>5182.668</v>
      </c>
      <c r="D79" s="11">
        <f>SUM(D76)-D77-D78</f>
        <v>420.98800000000006</v>
      </c>
      <c r="E79" s="20">
        <f t="shared" si="2"/>
        <v>3.4090029394378636</v>
      </c>
      <c r="F79" s="20">
        <f>SUM(D79)/C79*100</f>
        <v>8.122997652946323</v>
      </c>
    </row>
    <row r="80" spans="1:6" s="37" customFormat="1" ht="15">
      <c r="A80" s="36" t="s">
        <v>41</v>
      </c>
      <c r="B80" s="25">
        <f>500+3300</f>
        <v>3800</v>
      </c>
      <c r="C80" s="25">
        <f>100+500+50+1050</f>
        <v>1700</v>
      </c>
      <c r="D80" s="25"/>
      <c r="E80" s="20">
        <f t="shared" si="2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f>9000+21</f>
        <v>9021</v>
      </c>
      <c r="D81" s="18">
        <v>8000</v>
      </c>
      <c r="E81" s="20">
        <f t="shared" si="2"/>
        <v>50.71154638521759</v>
      </c>
      <c r="F81" s="20">
        <f t="shared" si="3"/>
        <v>88.68196430550937</v>
      </c>
    </row>
    <row r="82" spans="1:11" s="46" customFormat="1" ht="15.75">
      <c r="A82" s="43" t="s">
        <v>55</v>
      </c>
      <c r="B82" s="28">
        <f>B5+B14+B23+B35+B42+B49+B56+B61+B63+B66+B68+B73+B74+B75+B81</f>
        <v>2733774.133</v>
      </c>
      <c r="C82" s="28">
        <f>C5+C14+C23+C35+C42+C49+C56+C61+C63+C66+C68+C73+C74+C75+C81</f>
        <v>838880.3999999999</v>
      </c>
      <c r="D82" s="28">
        <f>D5+D14+D23+D35+D42+D49+D56+D61+D63+D66+D68+D73+D74+D75+D81</f>
        <v>663972.218</v>
      </c>
      <c r="E82" s="20">
        <f t="shared" si="2"/>
        <v>24.28774967123445</v>
      </c>
      <c r="F82" s="20">
        <f t="shared" si="3"/>
        <v>79.14980705235217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2261479.941</v>
      </c>
      <c r="C83" s="28">
        <f>C6+C15+C24+C36+C43+C50+C57+C64+C69+C76+C74</f>
        <v>802158.337</v>
      </c>
      <c r="D83" s="28">
        <f>D6+D15+D24+D36+D43+D50+D57+D64+D69+D76+D74</f>
        <v>655758.836</v>
      </c>
      <c r="E83" s="20">
        <f t="shared" si="2"/>
        <v>28.99688934273859</v>
      </c>
      <c r="F83" s="20">
        <f t="shared" si="3"/>
        <v>81.7493013227886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746762.364</v>
      </c>
      <c r="C84" s="22">
        <f t="shared" si="4"/>
        <v>227099.42500000002</v>
      </c>
      <c r="D84" s="22">
        <f t="shared" si="4"/>
        <v>201422.178</v>
      </c>
      <c r="E84" s="19">
        <f t="shared" si="2"/>
        <v>26.97272756504371</v>
      </c>
      <c r="F84" s="19">
        <f t="shared" si="3"/>
        <v>88.69338969044065</v>
      </c>
    </row>
    <row r="85" spans="1:6" ht="15">
      <c r="A85" s="47" t="s">
        <v>36</v>
      </c>
      <c r="B85" s="22">
        <f t="shared" si="4"/>
        <v>164347.59</v>
      </c>
      <c r="C85" s="22">
        <f t="shared" si="4"/>
        <v>50252.718</v>
      </c>
      <c r="D85" s="22">
        <f t="shared" si="4"/>
        <v>44434.899999999994</v>
      </c>
      <c r="E85" s="19">
        <f t="shared" si="2"/>
        <v>27.037147304685146</v>
      </c>
      <c r="F85" s="19">
        <f t="shared" si="3"/>
        <v>88.42287893761286</v>
      </c>
    </row>
    <row r="86" spans="1:6" ht="15">
      <c r="A86" s="47" t="s">
        <v>56</v>
      </c>
      <c r="B86" s="22">
        <f>B70+B11+B20+B29+B39+B46+B53+B58</f>
        <v>165297.17400000006</v>
      </c>
      <c r="C86" s="22">
        <f>C70+C11+C20+C29+C39+C46+C53+C58</f>
        <v>75953.96299999999</v>
      </c>
      <c r="D86" s="22">
        <f>D70+D11+D20+D29+D39+D46+D53+D58</f>
        <v>65789.26699999999</v>
      </c>
      <c r="E86" s="19">
        <f t="shared" si="2"/>
        <v>39.800599978799376</v>
      </c>
      <c r="F86" s="19">
        <f>SUM(D86)/C86*100</f>
        <v>86.61729342549249</v>
      </c>
    </row>
    <row r="87" spans="1:6" ht="15">
      <c r="A87" s="47" t="s">
        <v>40</v>
      </c>
      <c r="B87" s="22">
        <f>B83-B84-B85-B86</f>
        <v>1185072.8129999998</v>
      </c>
      <c r="C87" s="22">
        <f>C83-C84-C85-C86</f>
        <v>448852.231</v>
      </c>
      <c r="D87" s="22">
        <f>D83-D84-D85-D86</f>
        <v>344112.49100000004</v>
      </c>
      <c r="E87" s="19">
        <f t="shared" si="2"/>
        <v>29.03724456633873</v>
      </c>
      <c r="F87" s="19">
        <f t="shared" si="3"/>
        <v>76.66498398222288</v>
      </c>
    </row>
    <row r="88" spans="1:6" ht="15">
      <c r="A88" s="34" t="s">
        <v>41</v>
      </c>
      <c r="B88" s="18">
        <f>B13+B22+B41+B34+B55+B60+B62+B65+B67+B72+B80+B48</f>
        <v>454018.69200000004</v>
      </c>
      <c r="C88" s="18">
        <f>C13+C22+C41+C34+C55+C60+C62+C65+C67+C72+C80+C48</f>
        <v>27401.063</v>
      </c>
      <c r="D88" s="18">
        <f>D13+D22+D41+D34+D55+D60+D62+D65+D67+D72+D80+D48</f>
        <v>213.382</v>
      </c>
      <c r="E88" s="19">
        <f t="shared" si="2"/>
        <v>0.046998505515275124</v>
      </c>
      <c r="F88" s="19">
        <f t="shared" si="3"/>
        <v>0.7787362118031699</v>
      </c>
    </row>
    <row r="89" spans="1:6" ht="15">
      <c r="A89" s="34" t="s">
        <v>57</v>
      </c>
      <c r="B89" s="18">
        <f>SUM(B81)</f>
        <v>15775.5</v>
      </c>
      <c r="C89" s="18">
        <f>SUM(C81)</f>
        <v>9021</v>
      </c>
      <c r="D89" s="18">
        <f>SUM(D81)</f>
        <v>8000</v>
      </c>
      <c r="E89" s="19">
        <f t="shared" si="2"/>
        <v>50.71154638521759</v>
      </c>
      <c r="F89" s="19">
        <f t="shared" si="3"/>
        <v>88.68196430550937</v>
      </c>
    </row>
    <row r="90" spans="1:6" ht="28.5">
      <c r="A90" s="34" t="s">
        <v>58</v>
      </c>
      <c r="B90" s="18">
        <f>SUM(B73)</f>
        <v>2500</v>
      </c>
      <c r="C90" s="18">
        <f>SUM(C73)</f>
        <v>300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2016-04-19T07:14:29Z</cp:lastPrinted>
  <dcterms:created xsi:type="dcterms:W3CDTF">2015-04-07T07:35:57Z</dcterms:created>
  <dcterms:modified xsi:type="dcterms:W3CDTF">2016-04-26T12:34:23Z</dcterms:modified>
  <cp:category/>
  <cp:version/>
  <cp:contentType/>
  <cp:contentStatus/>
</cp:coreProperties>
</file>